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ctrlProps/ctrlProp5.xml" ContentType="application/vnd.ms-excel.controlproperties+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sharedStrings.xml" ContentType="application/vnd.openxmlformats-officedocument.spreadsheetml.sharedStrings+xml"/>
  <Override PartName="/xl/ctrlProps/ctrlProp3.xml" ContentType="application/vnd.ms-excel.controlproperties+xml"/>
  <Override PartName="/xl/ctrlProps/ctrlProp4.xml" ContentType="application/vnd.ms-excel.controlpropertie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7A2D7E96-6E34-419A-AE5F-296B3A7E7977}"/>
  <workbookPr showInkAnnotation="0" codeName="ThisWorkbook" autoCompressPictures="0"/>
  <bookViews>
    <workbookView xWindow="0" yWindow="0" windowWidth="28800" windowHeight="12435" tabRatio="896"/>
  </bookViews>
  <sheets>
    <sheet name="1. Introduction and Index" sheetId="47" r:id="rId1"/>
    <sheet name="2. Notes and Assumptions" sheetId="1" r:id="rId2"/>
    <sheet name="3. General Model Inputs" sheetId="2" r:id="rId3"/>
    <sheet name="4. Cardno Capex Reduction" sheetId="46" r:id="rId4"/>
    <sheet name="5. Demand Forecast Inputs" sheetId="40" r:id="rId5"/>
    <sheet name="6. Prior Price Year Adjustment " sheetId="45" r:id="rId6"/>
    <sheet name="7. Uriarra CSO Calculation" sheetId="42" r:id="rId7"/>
    <sheet name="8. Discovery Trail CSO" sheetId="43" r:id="rId8"/>
    <sheet name="9. Gas Abatement CSO" sheetId="44" r:id="rId9"/>
    <sheet name="10. Water-Existing Assets Input" sheetId="6" r:id="rId10"/>
    <sheet name="11. Water - Capex Input" sheetId="26" r:id="rId11"/>
    <sheet name="12. Water - Existing Assets RAB" sheetId="3" r:id="rId12"/>
    <sheet name="13. Water - Capex RAB" sheetId="9" r:id="rId13"/>
    <sheet name="14.Water-Existing Assets Tax BV" sheetId="29" r:id="rId14"/>
    <sheet name="15. Water - Capex Tax BV" sheetId="27" r:id="rId15"/>
    <sheet name="16. Water - MAR" sheetId="4" r:id="rId16"/>
    <sheet name="17. Water - Price Setting" sheetId="23" r:id="rId17"/>
    <sheet name="18. Sewer-Existing Assets Input" sheetId="13" r:id="rId18"/>
    <sheet name="19. Sewer - Capex Input" sheetId="30" r:id="rId19"/>
    <sheet name="20. Sewer - Existing Assets RAB" sheetId="31" r:id="rId20"/>
    <sheet name="21. Sewer - Capex RAB" sheetId="32" r:id="rId21"/>
    <sheet name="22.Sewer-Existing Assets Tax BV" sheetId="33" r:id="rId22"/>
    <sheet name="23. Sewer - Capex Tax BV" sheetId="34" r:id="rId23"/>
    <sheet name="24. Sewer - MAR" sheetId="35" r:id="rId24"/>
    <sheet name="25. Sewer - Price Setting" sheetId="36" r:id="rId25"/>
    <sheet name="26. Financeability Tests Case 1" sheetId="20" r:id="rId26"/>
    <sheet name="27. Financeability Tests Case 2" sheetId="41" r:id="rId27"/>
    <sheet name="28. Bill Impacts - Case 1" sheetId="38" r:id="rId28"/>
    <sheet name="29. Bill Impacts - Case 2" sheetId="39" r:id="rId29"/>
  </sheets>
  <externalReferences>
    <externalReference r:id="rId30"/>
  </externalReferences>
  <definedNames>
    <definedName name="base_year" localSheetId="4">'5. Demand Forecast Inputs'!#REF!</definedName>
    <definedName name="base_year" localSheetId="5">'6. Prior Price Year Adjustment '!#REF!</definedName>
    <definedName name="CSO_1_1" localSheetId="0">'[1]7. Uriarra CSO Calculation'!$G$49</definedName>
    <definedName name="CSO_1_1">'7. Uriarra CSO Calculation'!$E$48</definedName>
    <definedName name="CSO_1_2" localSheetId="0">'[1]7. Uriarra CSO Calculation'!$H$49</definedName>
    <definedName name="CSO_1_2">'7. Uriarra CSO Calculation'!$F$48</definedName>
    <definedName name="CSO_1_3" localSheetId="0">'[1]7. Uriarra CSO Calculation'!$I$49</definedName>
    <definedName name="CSO_1_3">'7. Uriarra CSO Calculation'!$G$48</definedName>
    <definedName name="CSO_1_4" localSheetId="0">'[1]7. Uriarra CSO Calculation'!$J$49</definedName>
    <definedName name="CSO_1_4">'7. Uriarra CSO Calculation'!$H$48</definedName>
    <definedName name="CSO_1_5" localSheetId="0">'[1]7. Uriarra CSO Calculation'!$K$49</definedName>
    <definedName name="CSO_1_5">'7. Uriarra CSO Calculation'!$I$48</definedName>
    <definedName name="CSO_2_1" localSheetId="0">'[1]7. Uriarra CSO Calculation'!$G$81</definedName>
    <definedName name="CSO_2_1">'7. Uriarra CSO Calculation'!$E$80</definedName>
    <definedName name="CSO_2_2" localSheetId="0">'[1]7. Uriarra CSO Calculation'!$H$81</definedName>
    <definedName name="CSO_2_2">'7. Uriarra CSO Calculation'!$F$80</definedName>
    <definedName name="CSO_2_3" localSheetId="0">'[1]7. Uriarra CSO Calculation'!$I$81</definedName>
    <definedName name="CSO_2_3">'7. Uriarra CSO Calculation'!$G$80</definedName>
    <definedName name="CSO_2_4" localSheetId="0">'[1]7. Uriarra CSO Calculation'!$J$81</definedName>
    <definedName name="CSO_2_4">'7. Uriarra CSO Calculation'!$H$80</definedName>
    <definedName name="CSO_2_5" localSheetId="0">'[1]7. Uriarra CSO Calculation'!$K$81</definedName>
    <definedName name="CSO_2_5">'7. Uriarra CSO Calculation'!$I$80</definedName>
    <definedName name="CSO_3_1">'8. Discovery Trail CSO'!$E$46</definedName>
    <definedName name="CSO_3_2">'8. Discovery Trail CSO'!$F$46</definedName>
    <definedName name="CSO_3_3">'8. Discovery Trail CSO'!$G$46</definedName>
    <definedName name="CSO_3_4">'8. Discovery Trail CSO'!$H$46</definedName>
    <definedName name="CSO_3_5">'8. Discovery Trail CSO'!$I$46</definedName>
    <definedName name="CSO_4_1">'9. Gas Abatement CSO'!$E$46</definedName>
    <definedName name="CSO_4_2">'9. Gas Abatement CSO'!$F$46</definedName>
    <definedName name="CSO_4_3">'9. Gas Abatement CSO'!$G$46</definedName>
    <definedName name="CSO_4_4">'9. Gas Abatement CSO'!$H$46</definedName>
    <definedName name="CSO_4_5">'9. Gas Abatement CSO'!$I$46</definedName>
    <definedName name="Err_1_1">'7. Uriarra CSO Calculation'!$E$55</definedName>
    <definedName name="Err_1_2">'7. Uriarra CSO Calculation'!$F$55</definedName>
    <definedName name="Err_1_3">'7. Uriarra CSO Calculation'!$G$55</definedName>
    <definedName name="Err_1_4">'7. Uriarra CSO Calculation'!$H$55</definedName>
    <definedName name="Err_1_5">'7. Uriarra CSO Calculation'!$I$55</definedName>
    <definedName name="Err_2_1">'7. Uriarra CSO Calculation'!$E$87</definedName>
    <definedName name="Err_2_2">'7. Uriarra CSO Calculation'!$F$87</definedName>
    <definedName name="Err_2_3">'7. Uriarra CSO Calculation'!$G$87</definedName>
    <definedName name="Err_2_4">'7. Uriarra CSO Calculation'!$H$87</definedName>
    <definedName name="Err_2_5">'7. Uriarra CSO Calculation'!$I$87</definedName>
    <definedName name="Err_3_1">'8. Discovery Trail CSO'!$E$53</definedName>
    <definedName name="Err_3_2">'8. Discovery Trail CSO'!$F$53</definedName>
    <definedName name="Err_3_3">'8. Discovery Trail CSO'!$G$53</definedName>
    <definedName name="Err_3_4">'8. Discovery Trail CSO'!$H$53</definedName>
    <definedName name="Err_3_5">'8. Discovery Trail CSO'!$I$53</definedName>
    <definedName name="Err_4_1">'9. Gas Abatement CSO'!$E$53</definedName>
    <definedName name="Err_4_2">'9. Gas Abatement CSO'!$F$53</definedName>
    <definedName name="Err_4_3">'9. Gas Abatement CSO'!$G$53</definedName>
    <definedName name="Err_4_4">'9. Gas Abatement CSO'!$H$53</definedName>
    <definedName name="Err_4_5">'9. Gas Abatement CSO'!$I$53</definedName>
    <definedName name="ModelConvergence">'2. Notes and Assumptions'!$D$105</definedName>
    <definedName name="PricePath">'2. Notes and Assumptions'!$H$11</definedName>
    <definedName name="ProjectName">'2. Notes and Assumptions'!$A$1</definedName>
    <definedName name="SewerConvergence1">'25. Sewer - Price Setting'!$D$37</definedName>
    <definedName name="SewerConvergence2">'25. Sewer - Price Setting'!$D$62</definedName>
    <definedName name="SewerP01">'25. Sewer - Price Setting'!$E$17</definedName>
    <definedName name="SewerP02">'25. Sewer - Price Setting'!$G$42</definedName>
    <definedName name="SewerX1">'25. Sewer - Price Setting'!$E$18</definedName>
    <definedName name="SewerX2">'25. Sewer - Price Setting'!$G$43</definedName>
    <definedName name="VolumeSensitivity" localSheetId="3">'4. Cardno Capex Reduction'!#REF!</definedName>
    <definedName name="VolumeSensitivity" localSheetId="7">'8. Discovery Trail CSO'!#REF!</definedName>
    <definedName name="VolumeSensitivity">'3. General Model Inputs'!$F$95:$I$95</definedName>
    <definedName name="WaterConvergence1">'17. Water - Price Setting'!$D$43</definedName>
    <definedName name="WaterConvergence2">'17. Water - Price Setting'!$D$72</definedName>
    <definedName name="WaterP01">'17. Water - Price Setting'!$E$21</definedName>
    <definedName name="WaterP02">'17. Water - Price Setting'!$G$50</definedName>
    <definedName name="WaterX1">'17. Water - Price Setting'!$E$22</definedName>
    <definedName name="WaterX2">'17. Water - Price Setting'!$G$51</definedName>
  </definedNames>
  <calcPr calcId="125725"/>
  <extLst>
    <ext xmlns:mx="http://schemas.microsoft.com/office/mac/excel/2008/main" uri="{7523E5D3-25F3-A5E0-1632-64F254C22452}">
      <mx:ArchID Flags="2"/>
    </ext>
  </extLst>
</workbook>
</file>

<file path=xl/calcChain.xml><?xml version="1.0" encoding="utf-8"?>
<calcChain xmlns="http://schemas.openxmlformats.org/spreadsheetml/2006/main">
  <c r="J6" i="6"/>
  <c r="J7"/>
  <c r="J8"/>
  <c r="C8" s="1"/>
  <c r="D45" i="3" s="1"/>
  <c r="J9" i="6"/>
  <c r="C9" s="1"/>
  <c r="J10"/>
  <c r="C10" s="1"/>
  <c r="D47" i="3" s="1"/>
  <c r="J11" i="6"/>
  <c r="J12"/>
  <c r="J13"/>
  <c r="J14"/>
  <c r="J15"/>
  <c r="J16"/>
  <c r="C16" s="1"/>
  <c r="D53" i="3" s="1"/>
  <c r="J17" i="6"/>
  <c r="C17" s="1"/>
  <c r="J18"/>
  <c r="C18" s="1"/>
  <c r="J19"/>
  <c r="J20"/>
  <c r="J21"/>
  <c r="J22"/>
  <c r="J23"/>
  <c r="J24"/>
  <c r="C24" s="1"/>
  <c r="D61" i="3" s="1"/>
  <c r="J25" i="6"/>
  <c r="C25" s="1"/>
  <c r="J26"/>
  <c r="C6"/>
  <c r="C26" s="1"/>
  <c r="C7"/>
  <c r="C11"/>
  <c r="C12"/>
  <c r="C13"/>
  <c r="C14"/>
  <c r="C15"/>
  <c r="C19"/>
  <c r="C20"/>
  <c r="C21"/>
  <c r="C22"/>
  <c r="C23"/>
  <c r="C7" i="2"/>
  <c r="E18" i="43"/>
  <c r="E25" s="1"/>
  <c r="J185" i="26"/>
  <c r="E19" i="43" s="1"/>
  <c r="E57"/>
  <c r="E28"/>
  <c r="F28" s="1"/>
  <c r="E29"/>
  <c r="E33" s="1"/>
  <c r="E60"/>
  <c r="F17"/>
  <c r="E6" i="36"/>
  <c r="E21" s="1"/>
  <c r="D25"/>
  <c r="E25" s="1"/>
  <c r="I57" i="43"/>
  <c r="I60"/>
  <c r="H10" i="2"/>
  <c r="H8" i="43" s="1"/>
  <c r="H57"/>
  <c r="H60"/>
  <c r="G57"/>
  <c r="G60"/>
  <c r="G11" i="2"/>
  <c r="G9" i="43" s="1"/>
  <c r="F57"/>
  <c r="F60"/>
  <c r="E21" i="40"/>
  <c r="F21"/>
  <c r="G21" s="1"/>
  <c r="H21"/>
  <c r="I28"/>
  <c r="H28"/>
  <c r="G28"/>
  <c r="F28"/>
  <c r="I36"/>
  <c r="H36"/>
  <c r="G36"/>
  <c r="F36"/>
  <c r="I68"/>
  <c r="H68"/>
  <c r="G68"/>
  <c r="F68"/>
  <c r="F5" i="2"/>
  <c r="F6" i="36" s="1"/>
  <c r="F21" s="1"/>
  <c r="E6" i="23"/>
  <c r="E25"/>
  <c r="D30"/>
  <c r="E30"/>
  <c r="E31" s="1"/>
  <c r="A2" i="47"/>
  <c r="A17" i="45"/>
  <c r="B48" i="2"/>
  <c r="C6" i="40"/>
  <c r="C72"/>
  <c r="C73"/>
  <c r="C74"/>
  <c r="C75"/>
  <c r="C76"/>
  <c r="C77"/>
  <c r="C78"/>
  <c r="D73"/>
  <c r="D74" s="1"/>
  <c r="D75" s="1"/>
  <c r="D76" s="1"/>
  <c r="D77" s="1"/>
  <c r="D78" s="1"/>
  <c r="C6" i="45"/>
  <c r="E8" s="1"/>
  <c r="B22"/>
  <c r="B23"/>
  <c r="E7"/>
  <c r="D31" i="23"/>
  <c r="D32"/>
  <c r="D43" i="3"/>
  <c r="D44"/>
  <c r="D46"/>
  <c r="D48"/>
  <c r="D49"/>
  <c r="D50"/>
  <c r="D51"/>
  <c r="D52"/>
  <c r="D54"/>
  <c r="D55"/>
  <c r="D56"/>
  <c r="D57"/>
  <c r="D58"/>
  <c r="D59"/>
  <c r="D60"/>
  <c r="D62"/>
  <c r="J164" i="26"/>
  <c r="J165"/>
  <c r="D739" i="9"/>
  <c r="J166" i="26"/>
  <c r="D740" i="27" s="1"/>
  <c r="J167" i="26"/>
  <c r="D741" i="9" s="1"/>
  <c r="J168" i="26"/>
  <c r="J169"/>
  <c r="D743" i="9"/>
  <c r="J170" i="26"/>
  <c r="D744" i="9" s="1"/>
  <c r="J171" i="26"/>
  <c r="D745" i="9" s="1"/>
  <c r="J172" i="26"/>
  <c r="J173"/>
  <c r="D747" i="9"/>
  <c r="J174" i="26"/>
  <c r="J175"/>
  <c r="D749" i="9" s="1"/>
  <c r="J176" i="26"/>
  <c r="D750" i="9" s="1"/>
  <c r="J177" i="26"/>
  <c r="D751" i="9"/>
  <c r="J178" i="26"/>
  <c r="D752" i="27" s="1"/>
  <c r="D752" i="9"/>
  <c r="J179" i="26"/>
  <c r="D753" i="9" s="1"/>
  <c r="J180" i="26"/>
  <c r="J181"/>
  <c r="D755" i="9"/>
  <c r="J182" i="26"/>
  <c r="D756" i="27" s="1"/>
  <c r="J183" i="26"/>
  <c r="D757" i="9" s="1"/>
  <c r="J184" i="26"/>
  <c r="D758" i="9" s="1"/>
  <c r="D759"/>
  <c r="D760"/>
  <c r="D761"/>
  <c r="D579"/>
  <c r="D580"/>
  <c r="D581"/>
  <c r="D582"/>
  <c r="D583"/>
  <c r="D584"/>
  <c r="D585"/>
  <c r="D586"/>
  <c r="D587"/>
  <c r="D588"/>
  <c r="D589"/>
  <c r="D590"/>
  <c r="D591"/>
  <c r="D592"/>
  <c r="D593"/>
  <c r="D594"/>
  <c r="D595"/>
  <c r="D596"/>
  <c r="D597"/>
  <c r="D598"/>
  <c r="D599"/>
  <c r="D600"/>
  <c r="D601"/>
  <c r="D602"/>
  <c r="D603"/>
  <c r="D604"/>
  <c r="D605"/>
  <c r="D606"/>
  <c r="D607"/>
  <c r="D608"/>
  <c r="D609"/>
  <c r="D610"/>
  <c r="D611"/>
  <c r="D612"/>
  <c r="D613"/>
  <c r="D614"/>
  <c r="D615"/>
  <c r="D616"/>
  <c r="D617"/>
  <c r="D618"/>
  <c r="D619"/>
  <c r="D620"/>
  <c r="D621"/>
  <c r="D622"/>
  <c r="D623"/>
  <c r="D624"/>
  <c r="D625"/>
  <c r="D626"/>
  <c r="D627"/>
  <c r="D628"/>
  <c r="D629"/>
  <c r="D630"/>
  <c r="D631"/>
  <c r="D632"/>
  <c r="D633"/>
  <c r="D634"/>
  <c r="D635"/>
  <c r="D636"/>
  <c r="D637"/>
  <c r="D638"/>
  <c r="D639"/>
  <c r="D640"/>
  <c r="D641"/>
  <c r="D642"/>
  <c r="D643"/>
  <c r="D644"/>
  <c r="D645"/>
  <c r="D646"/>
  <c r="D647"/>
  <c r="D648"/>
  <c r="D649"/>
  <c r="D650"/>
  <c r="D651"/>
  <c r="D652"/>
  <c r="D653"/>
  <c r="D654"/>
  <c r="D655"/>
  <c r="D656"/>
  <c r="D657"/>
  <c r="D658"/>
  <c r="D659"/>
  <c r="D660"/>
  <c r="D661"/>
  <c r="D662"/>
  <c r="D663"/>
  <c r="D664"/>
  <c r="D665"/>
  <c r="D666"/>
  <c r="D667"/>
  <c r="D668"/>
  <c r="D669"/>
  <c r="D670"/>
  <c r="D671"/>
  <c r="D672"/>
  <c r="D673"/>
  <c r="D674"/>
  <c r="D675"/>
  <c r="D676"/>
  <c r="D677"/>
  <c r="D678"/>
  <c r="D679"/>
  <c r="D680"/>
  <c r="D681"/>
  <c r="D682"/>
  <c r="D683"/>
  <c r="D684"/>
  <c r="D685"/>
  <c r="D686"/>
  <c r="D687"/>
  <c r="D688"/>
  <c r="D689"/>
  <c r="D690"/>
  <c r="D691"/>
  <c r="D692"/>
  <c r="D693"/>
  <c r="D694"/>
  <c r="D695"/>
  <c r="D696"/>
  <c r="D697"/>
  <c r="D698"/>
  <c r="D699"/>
  <c r="D700"/>
  <c r="D701"/>
  <c r="D702"/>
  <c r="D703"/>
  <c r="D704"/>
  <c r="D705"/>
  <c r="D706"/>
  <c r="D707"/>
  <c r="D708"/>
  <c r="D709"/>
  <c r="D710"/>
  <c r="D711"/>
  <c r="D712"/>
  <c r="D713"/>
  <c r="D714"/>
  <c r="D715"/>
  <c r="D716"/>
  <c r="D717"/>
  <c r="D718"/>
  <c r="D719"/>
  <c r="D720"/>
  <c r="D721"/>
  <c r="D722"/>
  <c r="D723"/>
  <c r="D724"/>
  <c r="D725"/>
  <c r="D726"/>
  <c r="D727"/>
  <c r="D728"/>
  <c r="D729"/>
  <c r="D730"/>
  <c r="D731"/>
  <c r="D732"/>
  <c r="D733"/>
  <c r="D734"/>
  <c r="D735"/>
  <c r="D736"/>
  <c r="D737"/>
  <c r="D9"/>
  <c r="E61" i="2"/>
  <c r="E25" i="4"/>
  <c r="E36"/>
  <c r="E43"/>
  <c r="E40" s="1"/>
  <c r="G5" i="26"/>
  <c r="D21" i="27" s="1"/>
  <c r="D579"/>
  <c r="D393"/>
  <c r="D22"/>
  <c r="D952" s="1"/>
  <c r="D580"/>
  <c r="D394"/>
  <c r="D23"/>
  <c r="D953" s="1"/>
  <c r="D581"/>
  <c r="D395"/>
  <c r="G8" i="26"/>
  <c r="D25" i="9" s="1"/>
  <c r="D582" i="27"/>
  <c r="D396"/>
  <c r="D25"/>
  <c r="D583"/>
  <c r="D397"/>
  <c r="D955"/>
  <c r="G10" i="26"/>
  <c r="D27" i="9" s="1"/>
  <c r="D584" i="27"/>
  <c r="D398"/>
  <c r="D27"/>
  <c r="D585"/>
  <c r="D399"/>
  <c r="D957" s="1"/>
  <c r="D28"/>
  <c r="D958" s="1"/>
  <c r="D586"/>
  <c r="D400"/>
  <c r="D29"/>
  <c r="D587"/>
  <c r="D401"/>
  <c r="D959"/>
  <c r="D30"/>
  <c r="D960" s="1"/>
  <c r="D588"/>
  <c r="D402"/>
  <c r="D31"/>
  <c r="D589"/>
  <c r="D403"/>
  <c r="D961"/>
  <c r="G16" i="26"/>
  <c r="D590" i="27"/>
  <c r="D404"/>
  <c r="D33"/>
  <c r="D591"/>
  <c r="D405"/>
  <c r="D963"/>
  <c r="D34"/>
  <c r="D592"/>
  <c r="D406"/>
  <c r="D35"/>
  <c r="D593"/>
  <c r="D407"/>
  <c r="D965" s="1"/>
  <c r="D36"/>
  <c r="D966" s="1"/>
  <c r="D594"/>
  <c r="D408"/>
  <c r="G21" i="26"/>
  <c r="D37" i="27"/>
  <c r="D595"/>
  <c r="D409"/>
  <c r="D38"/>
  <c r="D596"/>
  <c r="D968" s="1"/>
  <c r="D410"/>
  <c r="D39"/>
  <c r="D597"/>
  <c r="D411"/>
  <c r="D40"/>
  <c r="D598"/>
  <c r="D970" s="1"/>
  <c r="D412"/>
  <c r="D41"/>
  <c r="D971" s="1"/>
  <c r="D599"/>
  <c r="D413"/>
  <c r="D42"/>
  <c r="D600"/>
  <c r="D972" s="1"/>
  <c r="D414"/>
  <c r="D43"/>
  <c r="D601"/>
  <c r="D415"/>
  <c r="D44"/>
  <c r="D602"/>
  <c r="D974" s="1"/>
  <c r="D416"/>
  <c r="D45"/>
  <c r="D975" s="1"/>
  <c r="D603"/>
  <c r="D417"/>
  <c r="D46"/>
  <c r="D604"/>
  <c r="D976" s="1"/>
  <c r="D418"/>
  <c r="D47"/>
  <c r="D605"/>
  <c r="D419"/>
  <c r="D48"/>
  <c r="D606"/>
  <c r="D978" s="1"/>
  <c r="D420"/>
  <c r="D49"/>
  <c r="D979" s="1"/>
  <c r="D607"/>
  <c r="D421"/>
  <c r="D50"/>
  <c r="D608"/>
  <c r="D980" s="1"/>
  <c r="D422"/>
  <c r="D51"/>
  <c r="D609"/>
  <c r="D423"/>
  <c r="D52"/>
  <c r="D610"/>
  <c r="D982" s="1"/>
  <c r="D424"/>
  <c r="D53"/>
  <c r="D983" s="1"/>
  <c r="D611"/>
  <c r="D425"/>
  <c r="G38" i="26"/>
  <c r="D54" i="27"/>
  <c r="D612"/>
  <c r="D426"/>
  <c r="D984"/>
  <c r="D55"/>
  <c r="D985" s="1"/>
  <c r="D613"/>
  <c r="D427"/>
  <c r="G40" i="26"/>
  <c r="D56" i="27" s="1"/>
  <c r="D614"/>
  <c r="D428"/>
  <c r="D986"/>
  <c r="D57"/>
  <c r="D987" s="1"/>
  <c r="D615"/>
  <c r="D429"/>
  <c r="D58"/>
  <c r="D616"/>
  <c r="D430"/>
  <c r="D988" s="1"/>
  <c r="D59"/>
  <c r="D989" s="1"/>
  <c r="D617"/>
  <c r="D431"/>
  <c r="D60"/>
  <c r="D618"/>
  <c r="D432"/>
  <c r="D990"/>
  <c r="D61"/>
  <c r="D991" s="1"/>
  <c r="D619"/>
  <c r="D433"/>
  <c r="D62"/>
  <c r="D620"/>
  <c r="D434"/>
  <c r="D992" s="1"/>
  <c r="G47" i="26"/>
  <c r="D63" i="27" s="1"/>
  <c r="D993" s="1"/>
  <c r="D621"/>
  <c r="D435"/>
  <c r="D64"/>
  <c r="D622"/>
  <c r="D436"/>
  <c r="D994" s="1"/>
  <c r="D65"/>
  <c r="D995" s="1"/>
  <c r="D623"/>
  <c r="D437"/>
  <c r="D66"/>
  <c r="D624"/>
  <c r="D438"/>
  <c r="D996"/>
  <c r="D67"/>
  <c r="D997" s="1"/>
  <c r="D625"/>
  <c r="D439"/>
  <c r="D68"/>
  <c r="D626"/>
  <c r="D440"/>
  <c r="D998" s="1"/>
  <c r="D69"/>
  <c r="D627"/>
  <c r="D441"/>
  <c r="D70"/>
  <c r="D628"/>
  <c r="D1000" s="1"/>
  <c r="D442"/>
  <c r="D71"/>
  <c r="D629"/>
  <c r="D443"/>
  <c r="D72"/>
  <c r="D630"/>
  <c r="D444"/>
  <c r="D73"/>
  <c r="D631"/>
  <c r="D445"/>
  <c r="D74"/>
  <c r="D632"/>
  <c r="D446"/>
  <c r="D1004" s="1"/>
  <c r="G59" i="26"/>
  <c r="D75" i="27" s="1"/>
  <c r="D1005" s="1"/>
  <c r="D633"/>
  <c r="D447"/>
  <c r="D76"/>
  <c r="D634"/>
  <c r="D448"/>
  <c r="D77"/>
  <c r="D1007" s="1"/>
  <c r="D635"/>
  <c r="D449"/>
  <c r="G62" i="26"/>
  <c r="D78" i="27" s="1"/>
  <c r="D636"/>
  <c r="D450"/>
  <c r="D79"/>
  <c r="D1009" s="1"/>
  <c r="D637"/>
  <c r="D451"/>
  <c r="G64" i="26"/>
  <c r="D80" i="27" s="1"/>
  <c r="D1010" s="1"/>
  <c r="D638"/>
  <c r="D452"/>
  <c r="D81"/>
  <c r="D639"/>
  <c r="D453"/>
  <c r="D1011"/>
  <c r="D82"/>
  <c r="D640"/>
  <c r="D454"/>
  <c r="D1012"/>
  <c r="D83"/>
  <c r="D641"/>
  <c r="D455"/>
  <c r="D1013"/>
  <c r="D84"/>
  <c r="D642"/>
  <c r="D456"/>
  <c r="D1014"/>
  <c r="G69" i="26"/>
  <c r="D85" i="27" s="1"/>
  <c r="D1015" s="1"/>
  <c r="D643"/>
  <c r="D457"/>
  <c r="D86"/>
  <c r="D644"/>
  <c r="D458"/>
  <c r="D1016" s="1"/>
  <c r="D87"/>
  <c r="D645"/>
  <c r="D1017" s="1"/>
  <c r="D459"/>
  <c r="D88"/>
  <c r="D646"/>
  <c r="D460"/>
  <c r="D1018" s="1"/>
  <c r="D89"/>
  <c r="D647"/>
  <c r="D461"/>
  <c r="G74" i="26"/>
  <c r="D90" i="27" s="1"/>
  <c r="D648"/>
  <c r="D462"/>
  <c r="D91"/>
  <c r="D1021" s="1"/>
  <c r="D1207" s="1"/>
  <c r="E277" s="1"/>
  <c r="D649"/>
  <c r="D463"/>
  <c r="D92"/>
  <c r="D1022" s="1"/>
  <c r="D650"/>
  <c r="D464"/>
  <c r="D93"/>
  <c r="D651"/>
  <c r="D465"/>
  <c r="D94"/>
  <c r="D652"/>
  <c r="D466"/>
  <c r="D95"/>
  <c r="D653"/>
  <c r="D467"/>
  <c r="G80" i="26"/>
  <c r="D96" i="27"/>
  <c r="D654"/>
  <c r="D468"/>
  <c r="D97"/>
  <c r="D655"/>
  <c r="D469"/>
  <c r="D98"/>
  <c r="D656"/>
  <c r="D470"/>
  <c r="D1028"/>
  <c r="D99"/>
  <c r="D1029" s="1"/>
  <c r="D657"/>
  <c r="D471"/>
  <c r="D100"/>
  <c r="D658"/>
  <c r="D472"/>
  <c r="D1030"/>
  <c r="D101"/>
  <c r="D659"/>
  <c r="D473"/>
  <c r="D102"/>
  <c r="D660"/>
  <c r="D474"/>
  <c r="D1032"/>
  <c r="D1218" s="1"/>
  <c r="E288" s="1"/>
  <c r="D103"/>
  <c r="D661"/>
  <c r="D475"/>
  <c r="D104"/>
  <c r="D1034" s="1"/>
  <c r="D662"/>
  <c r="D476"/>
  <c r="D105"/>
  <c r="D663"/>
  <c r="D477"/>
  <c r="D106"/>
  <c r="D1036" s="1"/>
  <c r="D664"/>
  <c r="D478"/>
  <c r="D107"/>
  <c r="D665"/>
  <c r="D479"/>
  <c r="D108"/>
  <c r="D666"/>
  <c r="D480"/>
  <c r="D109"/>
  <c r="D1039" s="1"/>
  <c r="D667"/>
  <c r="D481"/>
  <c r="D110"/>
  <c r="D1040" s="1"/>
  <c r="D668"/>
  <c r="D482"/>
  <c r="D111"/>
  <c r="D669"/>
  <c r="D483"/>
  <c r="G96" i="26"/>
  <c r="D112" i="27" s="1"/>
  <c r="D670"/>
  <c r="D484"/>
  <c r="D1042"/>
  <c r="D113"/>
  <c r="D1043" s="1"/>
  <c r="D1229" s="1"/>
  <c r="E299" s="1"/>
  <c r="D671"/>
  <c r="D485"/>
  <c r="D114"/>
  <c r="D672"/>
  <c r="D486"/>
  <c r="D1044" s="1"/>
  <c r="D115"/>
  <c r="D1045" s="1"/>
  <c r="D673"/>
  <c r="D487"/>
  <c r="G100" i="26"/>
  <c r="D116" i="27" s="1"/>
  <c r="D674"/>
  <c r="D488"/>
  <c r="D117"/>
  <c r="D675"/>
  <c r="D489"/>
  <c r="D1047" s="1"/>
  <c r="D118"/>
  <c r="D676"/>
  <c r="D490"/>
  <c r="G103" i="26"/>
  <c r="D119" i="27" s="1"/>
  <c r="D1049" s="1"/>
  <c r="D677"/>
  <c r="D491"/>
  <c r="D120"/>
  <c r="D678"/>
  <c r="D492"/>
  <c r="D121"/>
  <c r="D679"/>
  <c r="D493"/>
  <c r="D1051" s="1"/>
  <c r="G106" i="26"/>
  <c r="D122" i="27"/>
  <c r="D680"/>
  <c r="D494"/>
  <c r="D123"/>
  <c r="D1053" s="1"/>
  <c r="D681"/>
  <c r="D495"/>
  <c r="D124"/>
  <c r="D682"/>
  <c r="D496"/>
  <c r="G109" i="26"/>
  <c r="D125" i="27" s="1"/>
  <c r="D683"/>
  <c r="D497"/>
  <c r="D1055" s="1"/>
  <c r="D126"/>
  <c r="D1056" s="1"/>
  <c r="D684"/>
  <c r="D498"/>
  <c r="D127"/>
  <c r="D685"/>
  <c r="D499"/>
  <c r="D1057"/>
  <c r="G112" i="26"/>
  <c r="D128" i="27" s="1"/>
  <c r="D1058" s="1"/>
  <c r="D686"/>
  <c r="D500"/>
  <c r="G113" i="26"/>
  <c r="D129" i="27"/>
  <c r="D687"/>
  <c r="D501"/>
  <c r="D130"/>
  <c r="D688"/>
  <c r="D1060" s="1"/>
  <c r="D502"/>
  <c r="G115" i="26"/>
  <c r="D131" i="27" s="1"/>
  <c r="D1061" s="1"/>
  <c r="D689"/>
  <c r="D503"/>
  <c r="D132"/>
  <c r="D1062" s="1"/>
  <c r="D690"/>
  <c r="D504"/>
  <c r="D133"/>
  <c r="D1063" s="1"/>
  <c r="D691"/>
  <c r="D505"/>
  <c r="D134"/>
  <c r="D692"/>
  <c r="D506"/>
  <c r="D1064"/>
  <c r="D135"/>
  <c r="D693"/>
  <c r="D507"/>
  <c r="G120" i="26"/>
  <c r="D136" i="27" s="1"/>
  <c r="D694"/>
  <c r="D508"/>
  <c r="D1066" s="1"/>
  <c r="G121" i="26"/>
  <c r="D695" i="27"/>
  <c r="D509"/>
  <c r="D138"/>
  <c r="D696"/>
  <c r="D510"/>
  <c r="D1068"/>
  <c r="G123" i="26"/>
  <c r="D139" i="27" s="1"/>
  <c r="D697"/>
  <c r="D511"/>
  <c r="G124" i="26"/>
  <c r="D140" i="27" s="1"/>
  <c r="D1070" s="1"/>
  <c r="D698"/>
  <c r="D512"/>
  <c r="G125" i="26"/>
  <c r="D141" i="27" s="1"/>
  <c r="D1071" s="1"/>
  <c r="D699"/>
  <c r="D513"/>
  <c r="G126" i="26"/>
  <c r="D142" i="27" s="1"/>
  <c r="D1072" s="1"/>
  <c r="D700"/>
  <c r="D514"/>
  <c r="G127" i="26"/>
  <c r="D143" i="27"/>
  <c r="D701"/>
  <c r="D515"/>
  <c r="D144"/>
  <c r="D702"/>
  <c r="D1074" s="1"/>
  <c r="D516"/>
  <c r="G129" i="26"/>
  <c r="D145" i="27"/>
  <c r="D1075" s="1"/>
  <c r="D703"/>
  <c r="D517"/>
  <c r="G130" i="26"/>
  <c r="D704" i="27"/>
  <c r="D518"/>
  <c r="D147"/>
  <c r="D705"/>
  <c r="D519"/>
  <c r="D1077"/>
  <c r="G132" i="26"/>
  <c r="D148" i="27" s="1"/>
  <c r="D1078" s="1"/>
  <c r="D706"/>
  <c r="D520"/>
  <c r="D149"/>
  <c r="D707"/>
  <c r="D521"/>
  <c r="D1079" s="1"/>
  <c r="G134" i="26"/>
  <c r="D150" i="27"/>
  <c r="D1080" s="1"/>
  <c r="D708"/>
  <c r="D522"/>
  <c r="G135" i="26"/>
  <c r="D151" i="27"/>
  <c r="D709"/>
  <c r="D523"/>
  <c r="D1081"/>
  <c r="G136" i="26"/>
  <c r="D152" i="27" s="1"/>
  <c r="D1082" s="1"/>
  <c r="D710"/>
  <c r="D524"/>
  <c r="D153"/>
  <c r="D711"/>
  <c r="D525"/>
  <c r="D1083" s="1"/>
  <c r="D154"/>
  <c r="D1084" s="1"/>
  <c r="D712"/>
  <c r="D526"/>
  <c r="D155"/>
  <c r="D713"/>
  <c r="D527"/>
  <c r="D1085" s="1"/>
  <c r="D156"/>
  <c r="D1086" s="1"/>
  <c r="D714"/>
  <c r="D528"/>
  <c r="G141" i="26"/>
  <c r="D157" i="27" s="1"/>
  <c r="D715"/>
  <c r="D529"/>
  <c r="D1087"/>
  <c r="D158"/>
  <c r="D716"/>
  <c r="D530"/>
  <c r="D1088" s="1"/>
  <c r="G143" i="26"/>
  <c r="D159" i="27"/>
  <c r="D717"/>
  <c r="D531"/>
  <c r="D160"/>
  <c r="D1090" s="1"/>
  <c r="D718"/>
  <c r="D532"/>
  <c r="G145" i="26"/>
  <c r="D161" i="27" s="1"/>
  <c r="D1091" s="1"/>
  <c r="D719"/>
  <c r="D533"/>
  <c r="D162"/>
  <c r="D1092" s="1"/>
  <c r="D720"/>
  <c r="D534"/>
  <c r="D163"/>
  <c r="D1093" s="1"/>
  <c r="D721"/>
  <c r="D535"/>
  <c r="G148" i="26"/>
  <c r="D164" i="27" s="1"/>
  <c r="D722"/>
  <c r="D536"/>
  <c r="D165"/>
  <c r="D723"/>
  <c r="D537"/>
  <c r="D1095"/>
  <c r="G150" i="26"/>
  <c r="D166" i="27" s="1"/>
  <c r="D1096" s="1"/>
  <c r="D724"/>
  <c r="D538"/>
  <c r="D167"/>
  <c r="D725"/>
  <c r="D539"/>
  <c r="D1097" s="1"/>
  <c r="G152" i="26"/>
  <c r="D168" i="27"/>
  <c r="D726"/>
  <c r="D540"/>
  <c r="D169"/>
  <c r="D727"/>
  <c r="D541"/>
  <c r="D170"/>
  <c r="D728"/>
  <c r="D542"/>
  <c r="G155" i="26"/>
  <c r="D171" i="27"/>
  <c r="D1101" s="1"/>
  <c r="D729"/>
  <c r="D543"/>
  <c r="D172"/>
  <c r="D730"/>
  <c r="D544"/>
  <c r="D173"/>
  <c r="D1103" s="1"/>
  <c r="D731"/>
  <c r="D545"/>
  <c r="G158" i="26"/>
  <c r="D174" i="27" s="1"/>
  <c r="D732"/>
  <c r="D546"/>
  <c r="D1104"/>
  <c r="D175"/>
  <c r="D733"/>
  <c r="D547"/>
  <c r="D1105" s="1"/>
  <c r="D176"/>
  <c r="D734"/>
  <c r="D548"/>
  <c r="D1106"/>
  <c r="D177"/>
  <c r="D735"/>
  <c r="D549"/>
  <c r="D1107" s="1"/>
  <c r="D178"/>
  <c r="D736"/>
  <c r="D550"/>
  <c r="D1108"/>
  <c r="D179"/>
  <c r="D737"/>
  <c r="D551"/>
  <c r="D1109" s="1"/>
  <c r="G164" i="26"/>
  <c r="D180" i="27" s="1"/>
  <c r="D552"/>
  <c r="G165" i="26"/>
  <c r="D181" i="27"/>
  <c r="D739"/>
  <c r="D553"/>
  <c r="G166" i="26"/>
  <c r="D182" i="27"/>
  <c r="D554"/>
  <c r="D1112"/>
  <c r="G167" i="26"/>
  <c r="D183" i="27" s="1"/>
  <c r="D1113" s="1"/>
  <c r="D741"/>
  <c r="D555"/>
  <c r="G168" i="26"/>
  <c r="D184" i="27" s="1"/>
  <c r="D556"/>
  <c r="G169" i="26"/>
  <c r="D185" i="27" s="1"/>
  <c r="D1115" s="1"/>
  <c r="D743"/>
  <c r="D557"/>
  <c r="G170" i="26"/>
  <c r="D186" i="27" s="1"/>
  <c r="D1116" s="1"/>
  <c r="D744"/>
  <c r="D558"/>
  <c r="G171" i="26"/>
  <c r="D745" i="27"/>
  <c r="D559"/>
  <c r="G172" i="26"/>
  <c r="D188" i="27" s="1"/>
  <c r="D560"/>
  <c r="G173" i="26"/>
  <c r="D189" i="27"/>
  <c r="D747"/>
  <c r="D561"/>
  <c r="G174" i="26"/>
  <c r="D190" i="27"/>
  <c r="D562"/>
  <c r="G175" i="26"/>
  <c r="D191" i="27"/>
  <c r="D749"/>
  <c r="D563"/>
  <c r="D1121"/>
  <c r="G176" i="26"/>
  <c r="D192" i="27" s="1"/>
  <c r="D1122" s="1"/>
  <c r="D750"/>
  <c r="D564"/>
  <c r="G177" i="26"/>
  <c r="D193" i="27" s="1"/>
  <c r="D751"/>
  <c r="D565"/>
  <c r="G178" i="26"/>
  <c r="D566" i="27"/>
  <c r="G179" i="26"/>
  <c r="D195" i="27" s="1"/>
  <c r="D753"/>
  <c r="D567"/>
  <c r="D1125" s="1"/>
  <c r="G180" i="26"/>
  <c r="D196" i="27" s="1"/>
  <c r="D568"/>
  <c r="G181" i="26"/>
  <c r="D197" i="27"/>
  <c r="D755"/>
  <c r="D569"/>
  <c r="G182" i="26"/>
  <c r="D198" i="27"/>
  <c r="D1128" s="1"/>
  <c r="D570"/>
  <c r="G183" i="26"/>
  <c r="D199" i="27" s="1"/>
  <c r="D1129" s="1"/>
  <c r="D757"/>
  <c r="D571"/>
  <c r="G184" i="26"/>
  <c r="D200" i="27" s="1"/>
  <c r="D1130" s="1"/>
  <c r="D758"/>
  <c r="D572"/>
  <c r="G185" i="26"/>
  <c r="D201" i="27" s="1"/>
  <c r="D1131" s="1"/>
  <c r="D759"/>
  <c r="D573"/>
  <c r="D202"/>
  <c r="D760"/>
  <c r="D574"/>
  <c r="D203"/>
  <c r="D761"/>
  <c r="D575"/>
  <c r="D22" i="29"/>
  <c r="D116" s="1"/>
  <c r="E6" i="6"/>
  <c r="D44" i="29" s="1"/>
  <c r="D23"/>
  <c r="D45"/>
  <c r="D117"/>
  <c r="D24"/>
  <c r="D46"/>
  <c r="D25"/>
  <c r="D47"/>
  <c r="D119" s="1"/>
  <c r="D26"/>
  <c r="D48"/>
  <c r="D120"/>
  <c r="D27"/>
  <c r="D121" s="1"/>
  <c r="D49"/>
  <c r="D28"/>
  <c r="D122" s="1"/>
  <c r="D50"/>
  <c r="D29"/>
  <c r="D123" s="1"/>
  <c r="D51"/>
  <c r="D30"/>
  <c r="D52"/>
  <c r="D124"/>
  <c r="D31"/>
  <c r="D53"/>
  <c r="D125"/>
  <c r="D32"/>
  <c r="D126" s="1"/>
  <c r="D54"/>
  <c r="D33"/>
  <c r="D55"/>
  <c r="D127" s="1"/>
  <c r="D34"/>
  <c r="D56"/>
  <c r="D128" s="1"/>
  <c r="D35"/>
  <c r="D129" s="1"/>
  <c r="D57"/>
  <c r="D36"/>
  <c r="D130" s="1"/>
  <c r="D58"/>
  <c r="D37"/>
  <c r="D59"/>
  <c r="D131"/>
  <c r="D38"/>
  <c r="D60"/>
  <c r="D132"/>
  <c r="D39"/>
  <c r="D61"/>
  <c r="D133"/>
  <c r="D40"/>
  <c r="D62"/>
  <c r="D41"/>
  <c r="D63"/>
  <c r="D135" s="1"/>
  <c r="D6" i="6"/>
  <c r="D21" i="3"/>
  <c r="D7" i="6"/>
  <c r="D22" i="3"/>
  <c r="D8" i="6"/>
  <c r="D23" i="3"/>
  <c r="D9" i="6"/>
  <c r="D24" i="3"/>
  <c r="D10" i="6"/>
  <c r="D25" i="3" s="1"/>
  <c r="D11" i="6"/>
  <c r="D26" i="3"/>
  <c r="D12" i="6"/>
  <c r="D27" i="3" s="1"/>
  <c r="D13" i="6"/>
  <c r="D28" i="3" s="1"/>
  <c r="D14" i="6"/>
  <c r="D29" i="3" s="1"/>
  <c r="D15" i="6"/>
  <c r="D30" i="3"/>
  <c r="D16" i="6"/>
  <c r="D31" i="3"/>
  <c r="D17" i="6"/>
  <c r="D32" i="3"/>
  <c r="D18" i="6"/>
  <c r="D33" i="3" s="1"/>
  <c r="D19" i="6"/>
  <c r="D34" i="3" s="1"/>
  <c r="D20" i="6"/>
  <c r="D35" i="3" s="1"/>
  <c r="D21" i="6"/>
  <c r="D36" i="3" s="1"/>
  <c r="D22" i="6"/>
  <c r="D37" i="3" s="1"/>
  <c r="D23" i="6"/>
  <c r="D38" i="3"/>
  <c r="D24" i="6"/>
  <c r="D39" i="3"/>
  <c r="D25" i="6"/>
  <c r="D40" i="3" s="1"/>
  <c r="D22" i="9"/>
  <c r="D23"/>
  <c r="D24"/>
  <c r="D26"/>
  <c r="D28"/>
  <c r="D29"/>
  <c r="D30"/>
  <c r="D31"/>
  <c r="D32"/>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9"/>
  <c r="D140"/>
  <c r="D141"/>
  <c r="D142"/>
  <c r="D143"/>
  <c r="D144"/>
  <c r="D145"/>
  <c r="D146"/>
  <c r="D148"/>
  <c r="D149"/>
  <c r="D150"/>
  <c r="D151"/>
  <c r="D152"/>
  <c r="D153"/>
  <c r="D154"/>
  <c r="D155"/>
  <c r="D156"/>
  <c r="D157"/>
  <c r="D158"/>
  <c r="D159"/>
  <c r="D160"/>
  <c r="D161"/>
  <c r="D162"/>
  <c r="D163"/>
  <c r="D164"/>
  <c r="D165"/>
  <c r="D166"/>
  <c r="D167"/>
  <c r="D168"/>
  <c r="D169"/>
  <c r="D170"/>
  <c r="D171"/>
  <c r="D172"/>
  <c r="D173"/>
  <c r="D174"/>
  <c r="D175"/>
  <c r="D176"/>
  <c r="D177"/>
  <c r="D178"/>
  <c r="D179"/>
  <c r="D180"/>
  <c r="D181"/>
  <c r="D182"/>
  <c r="D183"/>
  <c r="D184"/>
  <c r="D185"/>
  <c r="D186"/>
  <c r="D187"/>
  <c r="D189"/>
  <c r="D190"/>
  <c r="D191"/>
  <c r="D192"/>
  <c r="D193"/>
  <c r="D194"/>
  <c r="D196"/>
  <c r="D197"/>
  <c r="D198"/>
  <c r="D199"/>
  <c r="D200"/>
  <c r="D201"/>
  <c r="D202"/>
  <c r="D203"/>
  <c r="D204"/>
  <c r="F13" i="2"/>
  <c r="F11" i="44" s="1"/>
  <c r="F7" i="45"/>
  <c r="F8"/>
  <c r="E738" i="9"/>
  <c r="E739"/>
  <c r="E740"/>
  <c r="E741"/>
  <c r="E742"/>
  <c r="E743"/>
  <c r="E744"/>
  <c r="E745"/>
  <c r="E746"/>
  <c r="E747"/>
  <c r="E748"/>
  <c r="E749"/>
  <c r="E750"/>
  <c r="E751"/>
  <c r="E752"/>
  <c r="E753"/>
  <c r="E754"/>
  <c r="E755"/>
  <c r="E756"/>
  <c r="E757"/>
  <c r="E758"/>
  <c r="E759"/>
  <c r="E760"/>
  <c r="E761"/>
  <c r="E579"/>
  <c r="E580"/>
  <c r="E581"/>
  <c r="E582"/>
  <c r="E583"/>
  <c r="E584"/>
  <c r="E585"/>
  <c r="E586"/>
  <c r="E587"/>
  <c r="E588"/>
  <c r="E589"/>
  <c r="E590"/>
  <c r="E591"/>
  <c r="E592"/>
  <c r="E593"/>
  <c r="E594"/>
  <c r="E595"/>
  <c r="E596"/>
  <c r="E597"/>
  <c r="E598"/>
  <c r="E599"/>
  <c r="E600"/>
  <c r="E601"/>
  <c r="E602"/>
  <c r="E603"/>
  <c r="E604"/>
  <c r="E605"/>
  <c r="E606"/>
  <c r="E607"/>
  <c r="E608"/>
  <c r="E609"/>
  <c r="E610"/>
  <c r="E611"/>
  <c r="E612"/>
  <c r="E613"/>
  <c r="E614"/>
  <c r="E615"/>
  <c r="E616"/>
  <c r="E617"/>
  <c r="E618"/>
  <c r="E619"/>
  <c r="E620"/>
  <c r="E621"/>
  <c r="E622"/>
  <c r="E623"/>
  <c r="E624"/>
  <c r="E625"/>
  <c r="E626"/>
  <c r="E627"/>
  <c r="E628"/>
  <c r="E629"/>
  <c r="E630"/>
  <c r="E631"/>
  <c r="E632"/>
  <c r="E633"/>
  <c r="E634"/>
  <c r="E635"/>
  <c r="E636"/>
  <c r="E637"/>
  <c r="E638"/>
  <c r="E639"/>
  <c r="E640"/>
  <c r="E641"/>
  <c r="E642"/>
  <c r="E643"/>
  <c r="E644"/>
  <c r="E645"/>
  <c r="E646"/>
  <c r="E647"/>
  <c r="E648"/>
  <c r="E649"/>
  <c r="E650"/>
  <c r="E651"/>
  <c r="E652"/>
  <c r="E653"/>
  <c r="E654"/>
  <c r="E655"/>
  <c r="E656"/>
  <c r="E657"/>
  <c r="E658"/>
  <c r="E659"/>
  <c r="E660"/>
  <c r="E661"/>
  <c r="E662"/>
  <c r="E663"/>
  <c r="E664"/>
  <c r="E665"/>
  <c r="E666"/>
  <c r="E667"/>
  <c r="E668"/>
  <c r="E669"/>
  <c r="E670"/>
  <c r="E671"/>
  <c r="E672"/>
  <c r="E673"/>
  <c r="E674"/>
  <c r="E675"/>
  <c r="E676"/>
  <c r="E677"/>
  <c r="E678"/>
  <c r="E679"/>
  <c r="E680"/>
  <c r="E681"/>
  <c r="E682"/>
  <c r="E683"/>
  <c r="E684"/>
  <c r="E685"/>
  <c r="E686"/>
  <c r="E687"/>
  <c r="E688"/>
  <c r="E689"/>
  <c r="E690"/>
  <c r="E691"/>
  <c r="E692"/>
  <c r="E693"/>
  <c r="E694"/>
  <c r="E695"/>
  <c r="E696"/>
  <c r="E697"/>
  <c r="E698"/>
  <c r="E699"/>
  <c r="E700"/>
  <c r="E701"/>
  <c r="E702"/>
  <c r="E703"/>
  <c r="E704"/>
  <c r="E705"/>
  <c r="E706"/>
  <c r="E707"/>
  <c r="E708"/>
  <c r="E709"/>
  <c r="E710"/>
  <c r="E711"/>
  <c r="E712"/>
  <c r="E713"/>
  <c r="E714"/>
  <c r="E715"/>
  <c r="E716"/>
  <c r="E717"/>
  <c r="E718"/>
  <c r="E719"/>
  <c r="E720"/>
  <c r="E721"/>
  <c r="E722"/>
  <c r="E723"/>
  <c r="E724"/>
  <c r="E725"/>
  <c r="E726"/>
  <c r="E727"/>
  <c r="E728"/>
  <c r="E729"/>
  <c r="E730"/>
  <c r="E731"/>
  <c r="E732"/>
  <c r="E733"/>
  <c r="E734"/>
  <c r="E735"/>
  <c r="E736"/>
  <c r="E737"/>
  <c r="E762"/>
  <c r="E11" s="1"/>
  <c r="F20" i="2"/>
  <c r="F25" i="4"/>
  <c r="F36"/>
  <c r="E21" i="27"/>
  <c r="E579"/>
  <c r="E393"/>
  <c r="G6" i="26"/>
  <c r="E22" i="27"/>
  <c r="E952" s="1"/>
  <c r="D1138"/>
  <c r="E208" s="1"/>
  <c r="E580"/>
  <c r="E394"/>
  <c r="E23"/>
  <c r="D1139"/>
  <c r="E209"/>
  <c r="E581"/>
  <c r="E395"/>
  <c r="E582"/>
  <c r="E396"/>
  <c r="G9" i="26"/>
  <c r="E25" i="27" s="1"/>
  <c r="E955" s="1"/>
  <c r="D1141"/>
  <c r="E211" s="1"/>
  <c r="E583"/>
  <c r="E397"/>
  <c r="E584"/>
  <c r="E398"/>
  <c r="G11" i="26"/>
  <c r="E27" i="27"/>
  <c r="E957" s="1"/>
  <c r="D1143"/>
  <c r="E213" s="1"/>
  <c r="E585"/>
  <c r="E399"/>
  <c r="E28"/>
  <c r="E958" s="1"/>
  <c r="D1144"/>
  <c r="E214"/>
  <c r="E586"/>
  <c r="E400"/>
  <c r="E29"/>
  <c r="D1145"/>
  <c r="E215" s="1"/>
  <c r="E587"/>
  <c r="E401"/>
  <c r="E30"/>
  <c r="D1146"/>
  <c r="E216"/>
  <c r="E588"/>
  <c r="E960" s="1"/>
  <c r="E402"/>
  <c r="E31"/>
  <c r="D1147"/>
  <c r="E217"/>
  <c r="E589"/>
  <c r="E403"/>
  <c r="E961"/>
  <c r="E1147" s="1"/>
  <c r="F217" s="1"/>
  <c r="E590"/>
  <c r="E404"/>
  <c r="G17" i="26"/>
  <c r="E33" i="27"/>
  <c r="D1149"/>
  <c r="E219"/>
  <c r="E591"/>
  <c r="E405"/>
  <c r="E34"/>
  <c r="E592"/>
  <c r="E406"/>
  <c r="E35"/>
  <c r="E965" s="1"/>
  <c r="D1151"/>
  <c r="E221"/>
  <c r="E593"/>
  <c r="E407"/>
  <c r="E36"/>
  <c r="E966" s="1"/>
  <c r="D1152"/>
  <c r="E222" s="1"/>
  <c r="E594"/>
  <c r="E408"/>
  <c r="E37"/>
  <c r="E595"/>
  <c r="E409"/>
  <c r="G22" i="26"/>
  <c r="E38" i="27" s="1"/>
  <c r="D1154"/>
  <c r="E224" s="1"/>
  <c r="E596"/>
  <c r="E410"/>
  <c r="E39"/>
  <c r="E597"/>
  <c r="E411"/>
  <c r="E40"/>
  <c r="E970" s="1"/>
  <c r="D1156"/>
  <c r="E226"/>
  <c r="E598"/>
  <c r="E412"/>
  <c r="E41"/>
  <c r="D1157"/>
  <c r="E227"/>
  <c r="E599"/>
  <c r="E413"/>
  <c r="E42"/>
  <c r="E972" s="1"/>
  <c r="D1158"/>
  <c r="E228" s="1"/>
  <c r="E600"/>
  <c r="E414"/>
  <c r="G27" i="26"/>
  <c r="E43" i="27"/>
  <c r="E601"/>
  <c r="E415"/>
  <c r="E44"/>
  <c r="D1160"/>
  <c r="E230"/>
  <c r="E602"/>
  <c r="E416"/>
  <c r="E45"/>
  <c r="D1161"/>
  <c r="E231" s="1"/>
  <c r="E603"/>
  <c r="E417"/>
  <c r="E46"/>
  <c r="D1162"/>
  <c r="E232"/>
  <c r="E604"/>
  <c r="E418"/>
  <c r="E47"/>
  <c r="E605"/>
  <c r="E419"/>
  <c r="E48"/>
  <c r="E978" s="1"/>
  <c r="D1164"/>
  <c r="E234"/>
  <c r="E606"/>
  <c r="E420"/>
  <c r="E49"/>
  <c r="D1165"/>
  <c r="E235" s="1"/>
  <c r="E607"/>
  <c r="E421"/>
  <c r="G34" i="26"/>
  <c r="E50" i="27" s="1"/>
  <c r="D1166"/>
  <c r="E236" s="1"/>
  <c r="E608"/>
  <c r="E422"/>
  <c r="E51"/>
  <c r="E609"/>
  <c r="E423"/>
  <c r="E52"/>
  <c r="D1168"/>
  <c r="E238" s="1"/>
  <c r="E982" s="1"/>
  <c r="E610"/>
  <c r="E424"/>
  <c r="E53"/>
  <c r="E983" s="1"/>
  <c r="E1169" s="1"/>
  <c r="D1169"/>
  <c r="E239"/>
  <c r="E611"/>
  <c r="E425"/>
  <c r="E54"/>
  <c r="D1170"/>
  <c r="E240" s="1"/>
  <c r="E984" s="1"/>
  <c r="E612"/>
  <c r="E426"/>
  <c r="G39" i="26"/>
  <c r="E55" i="27"/>
  <c r="E985" s="1"/>
  <c r="D1171"/>
  <c r="E241"/>
  <c r="E613"/>
  <c r="E427"/>
  <c r="E56"/>
  <c r="D1172"/>
  <c r="E242"/>
  <c r="E986" s="1"/>
  <c r="E614"/>
  <c r="E428"/>
  <c r="G41" i="26"/>
  <c r="E57" i="27"/>
  <c r="D1173"/>
  <c r="E243" s="1"/>
  <c r="E987" s="1"/>
  <c r="E1173" s="1"/>
  <c r="E615"/>
  <c r="E429"/>
  <c r="E58"/>
  <c r="D1174"/>
  <c r="E244"/>
  <c r="E616"/>
  <c r="E430"/>
  <c r="E988"/>
  <c r="E59"/>
  <c r="D1175"/>
  <c r="E245" s="1"/>
  <c r="E989" s="1"/>
  <c r="E617"/>
  <c r="E431"/>
  <c r="E60"/>
  <c r="D1176"/>
  <c r="E246" s="1"/>
  <c r="E618"/>
  <c r="E432"/>
  <c r="E61"/>
  <c r="D1177"/>
  <c r="E247" s="1"/>
  <c r="E619"/>
  <c r="E433"/>
  <c r="E991"/>
  <c r="E62"/>
  <c r="D1178"/>
  <c r="E248"/>
  <c r="E620"/>
  <c r="E434"/>
  <c r="E63"/>
  <c r="D1179"/>
  <c r="E249"/>
  <c r="E993" s="1"/>
  <c r="E621"/>
  <c r="E435"/>
  <c r="G48" i="26"/>
  <c r="E64" i="27"/>
  <c r="D1180"/>
  <c r="E250"/>
  <c r="E622"/>
  <c r="E436"/>
  <c r="E65"/>
  <c r="D1181"/>
  <c r="E251"/>
  <c r="E995" s="1"/>
  <c r="E623"/>
  <c r="E437"/>
  <c r="G50" i="26"/>
  <c r="E66" i="27"/>
  <c r="D1182"/>
  <c r="E252" s="1"/>
  <c r="E624"/>
  <c r="E438"/>
  <c r="E67"/>
  <c r="D1183"/>
  <c r="E253"/>
  <c r="E625"/>
  <c r="E439"/>
  <c r="E997"/>
  <c r="E68"/>
  <c r="D1184"/>
  <c r="E254"/>
  <c r="E998" s="1"/>
  <c r="E626"/>
  <c r="E440"/>
  <c r="G53" i="26"/>
  <c r="E69" i="27"/>
  <c r="E627"/>
  <c r="E441"/>
  <c r="E70"/>
  <c r="D1186"/>
  <c r="E256"/>
  <c r="E628"/>
  <c r="E442"/>
  <c r="E1000"/>
  <c r="E71"/>
  <c r="E629"/>
  <c r="E443"/>
  <c r="E72"/>
  <c r="E630"/>
  <c r="E444"/>
  <c r="E73"/>
  <c r="E631"/>
  <c r="E445"/>
  <c r="E74"/>
  <c r="D1190"/>
  <c r="E260"/>
  <c r="E1004" s="1"/>
  <c r="E1190" s="1"/>
  <c r="F260" s="1"/>
  <c r="E632"/>
  <c r="E446"/>
  <c r="E75"/>
  <c r="D1191"/>
  <c r="E261"/>
  <c r="E633"/>
  <c r="E447"/>
  <c r="G60" i="26"/>
  <c r="E76" i="27"/>
  <c r="E634"/>
  <c r="E448"/>
  <c r="E77"/>
  <c r="D1193"/>
  <c r="E263"/>
  <c r="E635"/>
  <c r="E449"/>
  <c r="E78"/>
  <c r="E636"/>
  <c r="E450"/>
  <c r="G63" i="26"/>
  <c r="E79" i="27"/>
  <c r="D1195"/>
  <c r="E265"/>
  <c r="E1009" s="1"/>
  <c r="E637"/>
  <c r="E451"/>
  <c r="E80"/>
  <c r="D1196"/>
  <c r="E266"/>
  <c r="E638"/>
  <c r="E452"/>
  <c r="G65" i="26"/>
  <c r="D1197" i="27"/>
  <c r="E267"/>
  <c r="E639"/>
  <c r="E453"/>
  <c r="E82"/>
  <c r="D1198"/>
  <c r="E268" s="1"/>
  <c r="E640"/>
  <c r="E454"/>
  <c r="E83"/>
  <c r="D1199"/>
  <c r="E269" s="1"/>
  <c r="E641"/>
  <c r="E455"/>
  <c r="E84"/>
  <c r="D1200"/>
  <c r="E270" s="1"/>
  <c r="E642"/>
  <c r="E456"/>
  <c r="E1014"/>
  <c r="E85"/>
  <c r="E1015" s="1"/>
  <c r="D1201"/>
  <c r="E271"/>
  <c r="E643"/>
  <c r="E457"/>
  <c r="G70" i="26"/>
  <c r="E86" i="27"/>
  <c r="D1202"/>
  <c r="E272" s="1"/>
  <c r="E644"/>
  <c r="E458"/>
  <c r="E87"/>
  <c r="E1017" s="1"/>
  <c r="E1203" s="1"/>
  <c r="F273" s="1"/>
  <c r="D1203"/>
  <c r="E273"/>
  <c r="E645"/>
  <c r="E459"/>
  <c r="E88"/>
  <c r="D1204"/>
  <c r="E274"/>
  <c r="E1018" s="1"/>
  <c r="E646"/>
  <c r="E460"/>
  <c r="E89"/>
  <c r="E647"/>
  <c r="E461"/>
  <c r="E90"/>
  <c r="E648"/>
  <c r="E462"/>
  <c r="G75" i="26"/>
  <c r="E91" i="27" s="1"/>
  <c r="E649"/>
  <c r="E463"/>
  <c r="E92"/>
  <c r="E1022" s="1"/>
  <c r="D1208"/>
  <c r="E278" s="1"/>
  <c r="E650"/>
  <c r="E464"/>
  <c r="E93"/>
  <c r="E651"/>
  <c r="E465"/>
  <c r="E94"/>
  <c r="E652"/>
  <c r="E466"/>
  <c r="E95"/>
  <c r="E653"/>
  <c r="E467"/>
  <c r="E654"/>
  <c r="E468"/>
  <c r="G81" i="26"/>
  <c r="E97" i="27"/>
  <c r="E655"/>
  <c r="E469"/>
  <c r="E98"/>
  <c r="D1214"/>
  <c r="E284"/>
  <c r="E656"/>
  <c r="E470"/>
  <c r="E99"/>
  <c r="D1215"/>
  <c r="E285" s="1"/>
  <c r="E657"/>
  <c r="E471"/>
  <c r="E100"/>
  <c r="D1216"/>
  <c r="E286"/>
  <c r="E658"/>
  <c r="E472"/>
  <c r="E101"/>
  <c r="E659"/>
  <c r="E473"/>
  <c r="E102"/>
  <c r="E660"/>
  <c r="E474"/>
  <c r="E103"/>
  <c r="E661"/>
  <c r="E475"/>
  <c r="E104"/>
  <c r="D1220"/>
  <c r="E290"/>
  <c r="E662"/>
  <c r="E476"/>
  <c r="E105"/>
  <c r="E663"/>
  <c r="E477"/>
  <c r="E106"/>
  <c r="D1222"/>
  <c r="E292"/>
  <c r="E1036" s="1"/>
  <c r="E664"/>
  <c r="E478"/>
  <c r="E107"/>
  <c r="E665"/>
  <c r="E479"/>
  <c r="E666"/>
  <c r="E480"/>
  <c r="E109"/>
  <c r="D1225"/>
  <c r="E295"/>
  <c r="E667"/>
  <c r="E481"/>
  <c r="E1039"/>
  <c r="E110"/>
  <c r="D1226"/>
  <c r="E296"/>
  <c r="E668"/>
  <c r="E482"/>
  <c r="E111"/>
  <c r="E669"/>
  <c r="E483"/>
  <c r="E112"/>
  <c r="D1228"/>
  <c r="E298"/>
  <c r="E670"/>
  <c r="E484"/>
  <c r="E113"/>
  <c r="E671"/>
  <c r="E485"/>
  <c r="E114"/>
  <c r="D1230"/>
  <c r="E300"/>
  <c r="E1044" s="1"/>
  <c r="E1230" s="1"/>
  <c r="F300" s="1"/>
  <c r="E672"/>
  <c r="E486"/>
  <c r="E115"/>
  <c r="D1231"/>
  <c r="E301" s="1"/>
  <c r="E673"/>
  <c r="E487"/>
  <c r="E116"/>
  <c r="E674"/>
  <c r="E488"/>
  <c r="G101" i="26"/>
  <c r="E117" i="27" s="1"/>
  <c r="E1047" s="1"/>
  <c r="E1233" s="1"/>
  <c r="F303" s="1"/>
  <c r="D1233"/>
  <c r="E303" s="1"/>
  <c r="E675"/>
  <c r="E489"/>
  <c r="E118"/>
  <c r="E676"/>
  <c r="E490"/>
  <c r="E119"/>
  <c r="D1235"/>
  <c r="E305" s="1"/>
  <c r="E677"/>
  <c r="E491"/>
  <c r="G104" i="26"/>
  <c r="E120" i="27"/>
  <c r="E678"/>
  <c r="E492"/>
  <c r="E121"/>
  <c r="D1237"/>
  <c r="E307"/>
  <c r="E679"/>
  <c r="E493"/>
  <c r="E122"/>
  <c r="E680"/>
  <c r="E494"/>
  <c r="E123"/>
  <c r="D1239"/>
  <c r="E309"/>
  <c r="E681"/>
  <c r="E495"/>
  <c r="E124"/>
  <c r="E682"/>
  <c r="E496"/>
  <c r="E125"/>
  <c r="D1241"/>
  <c r="E311"/>
  <c r="E683"/>
  <c r="E497"/>
  <c r="G110" i="26"/>
  <c r="E126" i="27" s="1"/>
  <c r="D1242"/>
  <c r="E312" s="1"/>
  <c r="E684"/>
  <c r="E498"/>
  <c r="E127"/>
  <c r="D1243"/>
  <c r="E313" s="1"/>
  <c r="E685"/>
  <c r="E499"/>
  <c r="E128"/>
  <c r="D1244"/>
  <c r="E314" s="1"/>
  <c r="E686"/>
  <c r="E500"/>
  <c r="E1058"/>
  <c r="E129"/>
  <c r="E687"/>
  <c r="E501"/>
  <c r="G114" i="26"/>
  <c r="E130" i="27"/>
  <c r="D1246"/>
  <c r="E316"/>
  <c r="E688"/>
  <c r="E502"/>
  <c r="E131"/>
  <c r="D1247"/>
  <c r="E317"/>
  <c r="E689"/>
  <c r="E503"/>
  <c r="G116" i="26"/>
  <c r="E132" i="27" s="1"/>
  <c r="D1248"/>
  <c r="E318" s="1"/>
  <c r="E690"/>
  <c r="E504"/>
  <c r="E1062"/>
  <c r="E1248" s="1"/>
  <c r="F318" s="1"/>
  <c r="E133"/>
  <c r="D1249"/>
  <c r="E319" s="1"/>
  <c r="E1063" s="1"/>
  <c r="E691"/>
  <c r="E505"/>
  <c r="E134"/>
  <c r="D1250"/>
  <c r="E320"/>
  <c r="E1064" s="1"/>
  <c r="E692"/>
  <c r="E506"/>
  <c r="E135"/>
  <c r="E693"/>
  <c r="E507"/>
  <c r="E136"/>
  <c r="D1252"/>
  <c r="E322" s="1"/>
  <c r="E694"/>
  <c r="E508"/>
  <c r="E1066"/>
  <c r="E695"/>
  <c r="E509"/>
  <c r="G122" i="26"/>
  <c r="E138" i="27"/>
  <c r="D1254"/>
  <c r="E324" s="1"/>
  <c r="E696"/>
  <c r="E510"/>
  <c r="E139"/>
  <c r="E697"/>
  <c r="E511"/>
  <c r="E140"/>
  <c r="D1256"/>
  <c r="E326"/>
  <c r="E1070" s="1"/>
  <c r="E698"/>
  <c r="E512"/>
  <c r="E141"/>
  <c r="D1257"/>
  <c r="E327"/>
  <c r="E699"/>
  <c r="E513"/>
  <c r="E142"/>
  <c r="D1258"/>
  <c r="E328" s="1"/>
  <c r="E700"/>
  <c r="E514"/>
  <c r="E143"/>
  <c r="E701"/>
  <c r="E515"/>
  <c r="G128" i="26"/>
  <c r="E144" i="27" s="1"/>
  <c r="D1260"/>
  <c r="E330" s="1"/>
  <c r="E702"/>
  <c r="E516"/>
  <c r="E145"/>
  <c r="D1261"/>
  <c r="E331" s="1"/>
  <c r="E1075" s="1"/>
  <c r="E703"/>
  <c r="E517"/>
  <c r="E704"/>
  <c r="E518"/>
  <c r="G131" i="26"/>
  <c r="E147" i="27"/>
  <c r="D1263"/>
  <c r="E333" s="1"/>
  <c r="E705"/>
  <c r="E519"/>
  <c r="E148"/>
  <c r="D1264"/>
  <c r="E334"/>
  <c r="E706"/>
  <c r="E520"/>
  <c r="G133" i="26"/>
  <c r="E149" i="27" s="1"/>
  <c r="E1079" s="1"/>
  <c r="D1265"/>
  <c r="E335" s="1"/>
  <c r="E707"/>
  <c r="E521"/>
  <c r="E150"/>
  <c r="D1266"/>
  <c r="E336" s="1"/>
  <c r="E1080" s="1"/>
  <c r="E1266" s="1"/>
  <c r="F336" s="1"/>
  <c r="E708"/>
  <c r="E522"/>
  <c r="E151"/>
  <c r="D1267"/>
  <c r="E337" s="1"/>
  <c r="E709"/>
  <c r="E523"/>
  <c r="E1081"/>
  <c r="E152"/>
  <c r="D1268"/>
  <c r="E338" s="1"/>
  <c r="E1082" s="1"/>
  <c r="E710"/>
  <c r="E524"/>
  <c r="G137" i="26"/>
  <c r="E153" i="27"/>
  <c r="D1269"/>
  <c r="E339"/>
  <c r="E711"/>
  <c r="E525"/>
  <c r="E154"/>
  <c r="D1270"/>
  <c r="E340"/>
  <c r="E712"/>
  <c r="E526"/>
  <c r="E155"/>
  <c r="D1271"/>
  <c r="E341"/>
  <c r="E713"/>
  <c r="E527"/>
  <c r="E156"/>
  <c r="D1272"/>
  <c r="E342" s="1"/>
  <c r="E714"/>
  <c r="E528"/>
  <c r="E157"/>
  <c r="D1273"/>
  <c r="E343"/>
  <c r="E715"/>
  <c r="E529"/>
  <c r="G142" i="26"/>
  <c r="E158" i="27" s="1"/>
  <c r="D1274"/>
  <c r="E344" s="1"/>
  <c r="E716"/>
  <c r="E530"/>
  <c r="E159"/>
  <c r="E717"/>
  <c r="E531"/>
  <c r="G144" i="26"/>
  <c r="E160" i="27" s="1"/>
  <c r="E1090" s="1"/>
  <c r="D1276"/>
  <c r="E346"/>
  <c r="E718"/>
  <c r="E532"/>
  <c r="E161"/>
  <c r="D1277"/>
  <c r="E347" s="1"/>
  <c r="E719"/>
  <c r="E533"/>
  <c r="G146" i="26"/>
  <c r="E162" i="27" s="1"/>
  <c r="D1278"/>
  <c r="E348"/>
  <c r="E720"/>
  <c r="E534"/>
  <c r="G147" i="26"/>
  <c r="E163" i="27"/>
  <c r="D1279"/>
  <c r="E349"/>
  <c r="E721"/>
  <c r="E535"/>
  <c r="E164"/>
  <c r="E722"/>
  <c r="E536"/>
  <c r="G149" i="26"/>
  <c r="E165" i="27" s="1"/>
  <c r="D1281"/>
  <c r="E351" s="1"/>
  <c r="E1095" s="1"/>
  <c r="E723"/>
  <c r="E537"/>
  <c r="E166"/>
  <c r="D1282"/>
  <c r="E352" s="1"/>
  <c r="E724"/>
  <c r="E538"/>
  <c r="E1096"/>
  <c r="G151" i="26"/>
  <c r="E167" i="27"/>
  <c r="D1283"/>
  <c r="E353" s="1"/>
  <c r="E725"/>
  <c r="E539"/>
  <c r="E168"/>
  <c r="E726"/>
  <c r="E540"/>
  <c r="G153" i="26"/>
  <c r="E169" i="27" s="1"/>
  <c r="E727"/>
  <c r="E541"/>
  <c r="G154" i="26"/>
  <c r="E170" i="27"/>
  <c r="E728"/>
  <c r="E542"/>
  <c r="E171"/>
  <c r="D1287"/>
  <c r="E357"/>
  <c r="E1101" s="1"/>
  <c r="E729"/>
  <c r="E543"/>
  <c r="G156" i="26"/>
  <c r="E172" i="27" s="1"/>
  <c r="E730"/>
  <c r="E544"/>
  <c r="G157" i="26"/>
  <c r="E173" i="27"/>
  <c r="D1289"/>
  <c r="E359" s="1"/>
  <c r="E731"/>
  <c r="E545"/>
  <c r="E174"/>
  <c r="D1290"/>
  <c r="E360"/>
  <c r="E732"/>
  <c r="E546"/>
  <c r="G159" i="26"/>
  <c r="D1291" i="27"/>
  <c r="E361" s="1"/>
  <c r="E733"/>
  <c r="E547"/>
  <c r="G160" i="26"/>
  <c r="E176" i="27"/>
  <c r="D1292"/>
  <c r="E362" s="1"/>
  <c r="E734"/>
  <c r="E548"/>
  <c r="G161" i="26"/>
  <c r="E177" i="27"/>
  <c r="D1293"/>
  <c r="E363"/>
  <c r="E735"/>
  <c r="E549"/>
  <c r="E1107"/>
  <c r="G162" i="26"/>
  <c r="E178" i="27" s="1"/>
  <c r="D1294"/>
  <c r="E364"/>
  <c r="E736"/>
  <c r="E550"/>
  <c r="G163" i="26"/>
  <c r="E179" i="27"/>
  <c r="D1295"/>
  <c r="E365"/>
  <c r="E737"/>
  <c r="E551"/>
  <c r="E180"/>
  <c r="E738"/>
  <c r="E552"/>
  <c r="E181"/>
  <c r="E739"/>
  <c r="E553"/>
  <c r="E182"/>
  <c r="D1298"/>
  <c r="E368" s="1"/>
  <c r="E1112" s="1"/>
  <c r="E740"/>
  <c r="E554"/>
  <c r="E183"/>
  <c r="D1299"/>
  <c r="E369" s="1"/>
  <c r="E741"/>
  <c r="E555"/>
  <c r="E184"/>
  <c r="E742"/>
  <c r="E556"/>
  <c r="E185"/>
  <c r="E1115" s="1"/>
  <c r="D1301"/>
  <c r="E371" s="1"/>
  <c r="E743"/>
  <c r="E557"/>
  <c r="E186"/>
  <c r="D1302"/>
  <c r="E372" s="1"/>
  <c r="E1116" s="1"/>
  <c r="E744"/>
  <c r="E558"/>
  <c r="E745"/>
  <c r="E559"/>
  <c r="E188"/>
  <c r="E746"/>
  <c r="E560"/>
  <c r="E189"/>
  <c r="E747"/>
  <c r="E561"/>
  <c r="E190"/>
  <c r="E748"/>
  <c r="E562"/>
  <c r="E191"/>
  <c r="D1307"/>
  <c r="E377" s="1"/>
  <c r="E749"/>
  <c r="E563"/>
  <c r="E192"/>
  <c r="D1308"/>
  <c r="E378"/>
  <c r="E750"/>
  <c r="E564"/>
  <c r="E1122"/>
  <c r="E193"/>
  <c r="E751"/>
  <c r="E565"/>
  <c r="E752"/>
  <c r="E566"/>
  <c r="E195"/>
  <c r="E1125" s="1"/>
  <c r="D1311"/>
  <c r="E381" s="1"/>
  <c r="E753"/>
  <c r="E567"/>
  <c r="E196"/>
  <c r="E754"/>
  <c r="E568"/>
  <c r="E197"/>
  <c r="E755"/>
  <c r="E569"/>
  <c r="E198"/>
  <c r="D1314"/>
  <c r="E384"/>
  <c r="E1128" s="1"/>
  <c r="E756"/>
  <c r="E570"/>
  <c r="E199"/>
  <c r="D1315"/>
  <c r="E385" s="1"/>
  <c r="E757"/>
  <c r="E571"/>
  <c r="E200"/>
  <c r="D1316"/>
  <c r="E386" s="1"/>
  <c r="E1130" s="1"/>
  <c r="E758"/>
  <c r="E572"/>
  <c r="E201"/>
  <c r="D1317"/>
  <c r="E387" s="1"/>
  <c r="E759"/>
  <c r="E573"/>
  <c r="E760"/>
  <c r="E574"/>
  <c r="E203"/>
  <c r="E761"/>
  <c r="E575"/>
  <c r="E22" i="29"/>
  <c r="E116" s="1"/>
  <c r="D140"/>
  <c r="E44" s="1"/>
  <c r="E23"/>
  <c r="D141"/>
  <c r="E45" s="1"/>
  <c r="E117"/>
  <c r="E24"/>
  <c r="E25"/>
  <c r="E119" s="1"/>
  <c r="E143" s="1"/>
  <c r="D143"/>
  <c r="E47" s="1"/>
  <c r="E26"/>
  <c r="D144"/>
  <c r="E48" s="1"/>
  <c r="E120"/>
  <c r="E27"/>
  <c r="D145"/>
  <c r="E49" s="1"/>
  <c r="E121" s="1"/>
  <c r="E28"/>
  <c r="D146"/>
  <c r="E50" s="1"/>
  <c r="E122"/>
  <c r="E29"/>
  <c r="E123" s="1"/>
  <c r="D147"/>
  <c r="E51" s="1"/>
  <c r="E30"/>
  <c r="D148"/>
  <c r="E52" s="1"/>
  <c r="E31"/>
  <c r="D149"/>
  <c r="E53" s="1"/>
  <c r="E125" s="1"/>
  <c r="E149" s="1"/>
  <c r="F53" s="1"/>
  <c r="E32"/>
  <c r="D150"/>
  <c r="E54" s="1"/>
  <c r="E33"/>
  <c r="E127" s="1"/>
  <c r="D151"/>
  <c r="E55" s="1"/>
  <c r="E34"/>
  <c r="D152"/>
  <c r="E56" s="1"/>
  <c r="E128"/>
  <c r="E35"/>
  <c r="D153"/>
  <c r="E57" s="1"/>
  <c r="E129"/>
  <c r="E36"/>
  <c r="D154"/>
  <c r="E58" s="1"/>
  <c r="E130"/>
  <c r="E37"/>
  <c r="D155"/>
  <c r="E59" s="1"/>
  <c r="E38"/>
  <c r="D156"/>
  <c r="E60" s="1"/>
  <c r="E39"/>
  <c r="D157"/>
  <c r="E61" s="1"/>
  <c r="E133" s="1"/>
  <c r="E40"/>
  <c r="E41"/>
  <c r="E135" s="1"/>
  <c r="D159"/>
  <c r="E63" s="1"/>
  <c r="F9" i="2"/>
  <c r="F7" i="4" s="1"/>
  <c r="E21" i="3"/>
  <c r="E22"/>
  <c r="E23"/>
  <c r="E24"/>
  <c r="E25"/>
  <c r="E26"/>
  <c r="E27"/>
  <c r="E28"/>
  <c r="E29"/>
  <c r="E30"/>
  <c r="E31"/>
  <c r="E32"/>
  <c r="E33"/>
  <c r="E34"/>
  <c r="E35"/>
  <c r="E36"/>
  <c r="E37"/>
  <c r="E38"/>
  <c r="E39"/>
  <c r="E40"/>
  <c r="E22" i="9"/>
  <c r="E23"/>
  <c r="E24"/>
  <c r="E25"/>
  <c r="E26"/>
  <c r="E27"/>
  <c r="E28"/>
  <c r="E29"/>
  <c r="E30"/>
  <c r="E31"/>
  <c r="E32"/>
  <c r="E34"/>
  <c r="E36"/>
  <c r="E37"/>
  <c r="E38"/>
  <c r="E39"/>
  <c r="E40"/>
  <c r="E41"/>
  <c r="E42"/>
  <c r="E44"/>
  <c r="E45"/>
  <c r="E46"/>
  <c r="E47"/>
  <c r="E48"/>
  <c r="E49"/>
  <c r="E50"/>
  <c r="E51"/>
  <c r="E52"/>
  <c r="E53"/>
  <c r="E54"/>
  <c r="E55"/>
  <c r="E56"/>
  <c r="E57"/>
  <c r="E58"/>
  <c r="E59"/>
  <c r="E60"/>
  <c r="E61"/>
  <c r="E62"/>
  <c r="E63"/>
  <c r="E64"/>
  <c r="E65"/>
  <c r="E66"/>
  <c r="E67"/>
  <c r="E68"/>
  <c r="E69"/>
  <c r="E70"/>
  <c r="E71"/>
  <c r="E72"/>
  <c r="E73"/>
  <c r="E74"/>
  <c r="E75"/>
  <c r="E76"/>
  <c r="E77"/>
  <c r="E78"/>
  <c r="E79"/>
  <c r="E80"/>
  <c r="E81"/>
  <c r="E83"/>
  <c r="E84"/>
  <c r="E85"/>
  <c r="E86"/>
  <c r="E87"/>
  <c r="E88"/>
  <c r="E89"/>
  <c r="E90"/>
  <c r="E91"/>
  <c r="E92"/>
  <c r="E93"/>
  <c r="E94"/>
  <c r="E95"/>
  <c r="E96"/>
  <c r="E97"/>
  <c r="E98"/>
  <c r="E99"/>
  <c r="E100"/>
  <c r="E101"/>
  <c r="E102"/>
  <c r="E103"/>
  <c r="E104"/>
  <c r="E105"/>
  <c r="E106"/>
  <c r="E107"/>
  <c r="E108"/>
  <c r="E109"/>
  <c r="E110"/>
  <c r="E111"/>
  <c r="E112"/>
  <c r="E113"/>
  <c r="E114"/>
  <c r="E115"/>
  <c r="E116"/>
  <c r="E118"/>
  <c r="E119"/>
  <c r="E120"/>
  <c r="E121"/>
  <c r="E122"/>
  <c r="E123"/>
  <c r="E124"/>
  <c r="E125"/>
  <c r="E126"/>
  <c r="E127"/>
  <c r="E128"/>
  <c r="E129"/>
  <c r="E130"/>
  <c r="E131"/>
  <c r="E132"/>
  <c r="E133"/>
  <c r="E134"/>
  <c r="E135"/>
  <c r="E136"/>
  <c r="E137"/>
  <c r="E139"/>
  <c r="E140"/>
  <c r="E141"/>
  <c r="E142"/>
  <c r="E143"/>
  <c r="E144"/>
  <c r="E145"/>
  <c r="E146"/>
  <c r="E148"/>
  <c r="E149"/>
  <c r="E150"/>
  <c r="E151"/>
  <c r="E152"/>
  <c r="E153"/>
  <c r="E154"/>
  <c r="E155"/>
  <c r="E156"/>
  <c r="E157"/>
  <c r="E158"/>
  <c r="E159"/>
  <c r="E160"/>
  <c r="E161"/>
  <c r="E162"/>
  <c r="E163"/>
  <c r="E164"/>
  <c r="E165"/>
  <c r="E166"/>
  <c r="E167"/>
  <c r="E168"/>
  <c r="E169"/>
  <c r="E170"/>
  <c r="E171"/>
  <c r="E172"/>
  <c r="E173"/>
  <c r="E174"/>
  <c r="E175"/>
  <c r="E177"/>
  <c r="E178"/>
  <c r="E179"/>
  <c r="E180"/>
  <c r="E181"/>
  <c r="E182"/>
  <c r="E183"/>
  <c r="E184"/>
  <c r="E185"/>
  <c r="E186"/>
  <c r="E187"/>
  <c r="E189"/>
  <c r="E190"/>
  <c r="E191"/>
  <c r="E192"/>
  <c r="E193"/>
  <c r="E194"/>
  <c r="E196"/>
  <c r="E197"/>
  <c r="E198"/>
  <c r="E199"/>
  <c r="E200"/>
  <c r="E201"/>
  <c r="E202"/>
  <c r="E203"/>
  <c r="E204"/>
  <c r="G13" i="2"/>
  <c r="G11" i="35" s="1"/>
  <c r="G5" i="2"/>
  <c r="G7" i="45"/>
  <c r="G8"/>
  <c r="F738" i="9"/>
  <c r="F739"/>
  <c r="F740"/>
  <c r="F741"/>
  <c r="F742"/>
  <c r="F743"/>
  <c r="F744"/>
  <c r="F745"/>
  <c r="F746"/>
  <c r="F747"/>
  <c r="F748"/>
  <c r="F749"/>
  <c r="F750"/>
  <c r="F751"/>
  <c r="F752"/>
  <c r="F753"/>
  <c r="F754"/>
  <c r="F755"/>
  <c r="F756"/>
  <c r="F757"/>
  <c r="F758"/>
  <c r="F759"/>
  <c r="F760"/>
  <c r="F761"/>
  <c r="F579"/>
  <c r="F580"/>
  <c r="F581"/>
  <c r="F582"/>
  <c r="F583"/>
  <c r="F584"/>
  <c r="F585"/>
  <c r="F586"/>
  <c r="F587"/>
  <c r="F588"/>
  <c r="F589"/>
  <c r="F590"/>
  <c r="F591"/>
  <c r="F592"/>
  <c r="F593"/>
  <c r="F594"/>
  <c r="F595"/>
  <c r="F596"/>
  <c r="F597"/>
  <c r="F598"/>
  <c r="F599"/>
  <c r="F600"/>
  <c r="F601"/>
  <c r="F602"/>
  <c r="F603"/>
  <c r="F604"/>
  <c r="F605"/>
  <c r="F606"/>
  <c r="F607"/>
  <c r="F608"/>
  <c r="F609"/>
  <c r="F610"/>
  <c r="F611"/>
  <c r="F612"/>
  <c r="F613"/>
  <c r="F614"/>
  <c r="F615"/>
  <c r="F616"/>
  <c r="F617"/>
  <c r="F618"/>
  <c r="F619"/>
  <c r="F620"/>
  <c r="F621"/>
  <c r="F622"/>
  <c r="F623"/>
  <c r="F624"/>
  <c r="F625"/>
  <c r="F626"/>
  <c r="F627"/>
  <c r="F628"/>
  <c r="F629"/>
  <c r="F630"/>
  <c r="F631"/>
  <c r="F632"/>
  <c r="F633"/>
  <c r="F634"/>
  <c r="F635"/>
  <c r="F636"/>
  <c r="F637"/>
  <c r="F638"/>
  <c r="F639"/>
  <c r="F640"/>
  <c r="F641"/>
  <c r="F642"/>
  <c r="F643"/>
  <c r="F644"/>
  <c r="F645"/>
  <c r="F646"/>
  <c r="F647"/>
  <c r="F648"/>
  <c r="F649"/>
  <c r="F650"/>
  <c r="F651"/>
  <c r="F652"/>
  <c r="F653"/>
  <c r="F654"/>
  <c r="F655"/>
  <c r="F656"/>
  <c r="F657"/>
  <c r="F658"/>
  <c r="F659"/>
  <c r="F660"/>
  <c r="F661"/>
  <c r="F662"/>
  <c r="F663"/>
  <c r="F664"/>
  <c r="F665"/>
  <c r="F666"/>
  <c r="F667"/>
  <c r="F668"/>
  <c r="F669"/>
  <c r="F670"/>
  <c r="F671"/>
  <c r="F672"/>
  <c r="F673"/>
  <c r="F674"/>
  <c r="F675"/>
  <c r="F676"/>
  <c r="F677"/>
  <c r="F678"/>
  <c r="F679"/>
  <c r="F680"/>
  <c r="F681"/>
  <c r="F682"/>
  <c r="F683"/>
  <c r="F684"/>
  <c r="F685"/>
  <c r="F686"/>
  <c r="F687"/>
  <c r="F688"/>
  <c r="F689"/>
  <c r="F690"/>
  <c r="F691"/>
  <c r="F692"/>
  <c r="F693"/>
  <c r="F694"/>
  <c r="F695"/>
  <c r="F696"/>
  <c r="F697"/>
  <c r="F698"/>
  <c r="F699"/>
  <c r="F700"/>
  <c r="F701"/>
  <c r="F702"/>
  <c r="F703"/>
  <c r="F704"/>
  <c r="F705"/>
  <c r="F706"/>
  <c r="F707"/>
  <c r="F708"/>
  <c r="F709"/>
  <c r="F710"/>
  <c r="F711"/>
  <c r="F712"/>
  <c r="F713"/>
  <c r="F714"/>
  <c r="F715"/>
  <c r="F716"/>
  <c r="F717"/>
  <c r="F718"/>
  <c r="F719"/>
  <c r="F720"/>
  <c r="F721"/>
  <c r="F722"/>
  <c r="F723"/>
  <c r="F724"/>
  <c r="F725"/>
  <c r="F726"/>
  <c r="F727"/>
  <c r="F728"/>
  <c r="F729"/>
  <c r="F730"/>
  <c r="F731"/>
  <c r="F732"/>
  <c r="F733"/>
  <c r="F734"/>
  <c r="F735"/>
  <c r="F736"/>
  <c r="F737"/>
  <c r="G20" i="2"/>
  <c r="G60"/>
  <c r="G25" i="4"/>
  <c r="G36"/>
  <c r="F21" i="27"/>
  <c r="F579"/>
  <c r="F393"/>
  <c r="F22"/>
  <c r="E1138"/>
  <c r="F208" s="1"/>
  <c r="F952" s="1"/>
  <c r="F580"/>
  <c r="F394"/>
  <c r="G7" i="26"/>
  <c r="F23" i="27" s="1"/>
  <c r="F581"/>
  <c r="F395"/>
  <c r="F582"/>
  <c r="F396"/>
  <c r="F25"/>
  <c r="E1141"/>
  <c r="F211"/>
  <c r="F583"/>
  <c r="F397"/>
  <c r="F584"/>
  <c r="F398"/>
  <c r="F27"/>
  <c r="E1143"/>
  <c r="F213"/>
  <c r="F957" s="1"/>
  <c r="F585"/>
  <c r="F399"/>
  <c r="G12" i="26"/>
  <c r="F28" i="27" s="1"/>
  <c r="E1144"/>
  <c r="F214"/>
  <c r="F586"/>
  <c r="F400"/>
  <c r="F958"/>
  <c r="G13" i="26"/>
  <c r="F29" i="27"/>
  <c r="F587"/>
  <c r="F401"/>
  <c r="F30"/>
  <c r="E1146"/>
  <c r="F216"/>
  <c r="F588"/>
  <c r="F402"/>
  <c r="F31"/>
  <c r="F589"/>
  <c r="F403"/>
  <c r="F961"/>
  <c r="F1147" s="1"/>
  <c r="G217" s="1"/>
  <c r="F590"/>
  <c r="F404"/>
  <c r="F33"/>
  <c r="F591"/>
  <c r="F405"/>
  <c r="G18" i="26"/>
  <c r="F34" i="27" s="1"/>
  <c r="F592"/>
  <c r="F406"/>
  <c r="F35"/>
  <c r="E1151"/>
  <c r="F221" s="1"/>
  <c r="F593"/>
  <c r="F407"/>
  <c r="F36"/>
  <c r="E1152"/>
  <c r="F222" s="1"/>
  <c r="F594"/>
  <c r="F408"/>
  <c r="F37"/>
  <c r="F595"/>
  <c r="F409"/>
  <c r="F38"/>
  <c r="F596"/>
  <c r="F410"/>
  <c r="G23" i="26"/>
  <c r="F39" i="27"/>
  <c r="F597"/>
  <c r="F411"/>
  <c r="G24" i="26"/>
  <c r="F40" i="27" s="1"/>
  <c r="E1156"/>
  <c r="F226" s="1"/>
  <c r="F598"/>
  <c r="F412"/>
  <c r="F41"/>
  <c r="F599"/>
  <c r="F413"/>
  <c r="F42"/>
  <c r="E1158"/>
  <c r="F228"/>
  <c r="F600"/>
  <c r="F414"/>
  <c r="F972"/>
  <c r="F43"/>
  <c r="F601"/>
  <c r="F415"/>
  <c r="G28" i="26"/>
  <c r="F44" i="27"/>
  <c r="F602"/>
  <c r="F416"/>
  <c r="F603"/>
  <c r="F417"/>
  <c r="F46"/>
  <c r="F604"/>
  <c r="F418"/>
  <c r="G31" i="26"/>
  <c r="F47" i="27"/>
  <c r="F605"/>
  <c r="F419"/>
  <c r="F48"/>
  <c r="E1164"/>
  <c r="F234" s="1"/>
  <c r="F978" s="1"/>
  <c r="F606"/>
  <c r="F420"/>
  <c r="F49"/>
  <c r="F607"/>
  <c r="F421"/>
  <c r="F50"/>
  <c r="F608"/>
  <c r="F422"/>
  <c r="G35" i="26"/>
  <c r="F51" i="27" s="1"/>
  <c r="F609"/>
  <c r="F423"/>
  <c r="F52"/>
  <c r="E1168"/>
  <c r="F238" s="1"/>
  <c r="F610"/>
  <c r="F424"/>
  <c r="F53"/>
  <c r="F983" s="1"/>
  <c r="F239"/>
  <c r="F611"/>
  <c r="F425"/>
  <c r="F54"/>
  <c r="E1170"/>
  <c r="F240"/>
  <c r="F612"/>
  <c r="F426"/>
  <c r="F55"/>
  <c r="E1171"/>
  <c r="F241"/>
  <c r="F613"/>
  <c r="F427"/>
  <c r="F56"/>
  <c r="E1172"/>
  <c r="F242" s="1"/>
  <c r="F614"/>
  <c r="F428"/>
  <c r="F57"/>
  <c r="F243"/>
  <c r="F615"/>
  <c r="F429"/>
  <c r="F58"/>
  <c r="E1174"/>
  <c r="F244"/>
  <c r="F616"/>
  <c r="F430"/>
  <c r="F988" s="1"/>
  <c r="F59"/>
  <c r="E1175"/>
  <c r="F245"/>
  <c r="F989" s="1"/>
  <c r="F617"/>
  <c r="F431"/>
  <c r="G44" i="26"/>
  <c r="F60" i="27"/>
  <c r="F618"/>
  <c r="F432"/>
  <c r="F61"/>
  <c r="E1177"/>
  <c r="F247" s="1"/>
  <c r="F619"/>
  <c r="F433"/>
  <c r="F620"/>
  <c r="F434"/>
  <c r="F63"/>
  <c r="E1179"/>
  <c r="F249" s="1"/>
  <c r="F621"/>
  <c r="F435"/>
  <c r="F993"/>
  <c r="F1179" s="1"/>
  <c r="G249" s="1"/>
  <c r="F64"/>
  <c r="F622"/>
  <c r="F436"/>
  <c r="G49" i="26"/>
  <c r="F65" i="27"/>
  <c r="F995" s="1"/>
  <c r="E1181"/>
  <c r="F251" s="1"/>
  <c r="F623"/>
  <c r="F437"/>
  <c r="F66"/>
  <c r="F624"/>
  <c r="F438"/>
  <c r="G51" i="26"/>
  <c r="F67" i="27" s="1"/>
  <c r="E1183"/>
  <c r="F253" s="1"/>
  <c r="F625"/>
  <c r="F439"/>
  <c r="F68"/>
  <c r="E1184"/>
  <c r="F254" s="1"/>
  <c r="F998" s="1"/>
  <c r="F626"/>
  <c r="F440"/>
  <c r="F69"/>
  <c r="F627"/>
  <c r="F441"/>
  <c r="G54" i="26"/>
  <c r="F70" i="27"/>
  <c r="E1186"/>
  <c r="F256" s="1"/>
  <c r="F628"/>
  <c r="F442"/>
  <c r="F71"/>
  <c r="F629"/>
  <c r="F443"/>
  <c r="G56" i="26"/>
  <c r="F72" i="27" s="1"/>
  <c r="F630"/>
  <c r="F444"/>
  <c r="F73"/>
  <c r="F631"/>
  <c r="F445"/>
  <c r="F74"/>
  <c r="F1004" s="1"/>
  <c r="F632"/>
  <c r="F446"/>
  <c r="F75"/>
  <c r="F633"/>
  <c r="F447"/>
  <c r="F76"/>
  <c r="F634"/>
  <c r="F448"/>
  <c r="G61" i="26"/>
  <c r="F77" i="27"/>
  <c r="F635"/>
  <c r="F449"/>
  <c r="F78"/>
  <c r="F636"/>
  <c r="F450"/>
  <c r="F79"/>
  <c r="E1195"/>
  <c r="F265" s="1"/>
  <c r="F637"/>
  <c r="F451"/>
  <c r="F80"/>
  <c r="F638"/>
  <c r="F452"/>
  <c r="F639"/>
  <c r="F453"/>
  <c r="G66" i="26"/>
  <c r="F82" i="27"/>
  <c r="F640"/>
  <c r="F454"/>
  <c r="F83"/>
  <c r="F641"/>
  <c r="F455"/>
  <c r="F84"/>
  <c r="E1200"/>
  <c r="F270" s="1"/>
  <c r="F642"/>
  <c r="F456"/>
  <c r="F85"/>
  <c r="E1201"/>
  <c r="F271" s="1"/>
  <c r="F643"/>
  <c r="F457"/>
  <c r="F86"/>
  <c r="F644"/>
  <c r="F458"/>
  <c r="G71" i="26"/>
  <c r="F87" i="27" s="1"/>
  <c r="F1017" s="1"/>
  <c r="F645"/>
  <c r="F459"/>
  <c r="F88"/>
  <c r="E1204"/>
  <c r="F274" s="1"/>
  <c r="F646"/>
  <c r="F460"/>
  <c r="F89"/>
  <c r="F647"/>
  <c r="F461"/>
  <c r="F90"/>
  <c r="F648"/>
  <c r="F462"/>
  <c r="F91"/>
  <c r="F649"/>
  <c r="F463"/>
  <c r="G76" i="26"/>
  <c r="F92" i="27"/>
  <c r="F1022" s="1"/>
  <c r="E1208"/>
  <c r="F278"/>
  <c r="F650"/>
  <c r="F464"/>
  <c r="F93"/>
  <c r="F651"/>
  <c r="F465"/>
  <c r="F652"/>
  <c r="F466"/>
  <c r="F95"/>
  <c r="F653"/>
  <c r="F467"/>
  <c r="F654"/>
  <c r="F468"/>
  <c r="F97"/>
  <c r="F655"/>
  <c r="F469"/>
  <c r="F98"/>
  <c r="F656"/>
  <c r="F470"/>
  <c r="F99"/>
  <c r="F657"/>
  <c r="F471"/>
  <c r="F100"/>
  <c r="F658"/>
  <c r="F472"/>
  <c r="F101"/>
  <c r="F659"/>
  <c r="F473"/>
  <c r="F102"/>
  <c r="F660"/>
  <c r="F474"/>
  <c r="F661"/>
  <c r="F475"/>
  <c r="G88" i="26"/>
  <c r="F662" i="27"/>
  <c r="F476"/>
  <c r="F105"/>
  <c r="F663"/>
  <c r="F477"/>
  <c r="F106"/>
  <c r="F1036" s="1"/>
  <c r="E1222"/>
  <c r="F292"/>
  <c r="F664"/>
  <c r="F478"/>
  <c r="F107"/>
  <c r="F665"/>
  <c r="F479"/>
  <c r="F666"/>
  <c r="F480"/>
  <c r="F109"/>
  <c r="F1039" s="1"/>
  <c r="E1225"/>
  <c r="F295" s="1"/>
  <c r="F667"/>
  <c r="F481"/>
  <c r="F110"/>
  <c r="F668"/>
  <c r="F482"/>
  <c r="F669"/>
  <c r="F483"/>
  <c r="F112"/>
  <c r="F670"/>
  <c r="F484"/>
  <c r="G97" i="26"/>
  <c r="F113" i="27" s="1"/>
  <c r="F671"/>
  <c r="F485"/>
  <c r="F114"/>
  <c r="F672"/>
  <c r="F486"/>
  <c r="F673"/>
  <c r="F487"/>
  <c r="F116"/>
  <c r="F674"/>
  <c r="F488"/>
  <c r="F117"/>
  <c r="F1047" s="1"/>
  <c r="F1233" s="1"/>
  <c r="F675"/>
  <c r="F489"/>
  <c r="F118"/>
  <c r="F676"/>
  <c r="F490"/>
  <c r="F677"/>
  <c r="F491"/>
  <c r="F120"/>
  <c r="F678"/>
  <c r="F492"/>
  <c r="G105" i="26"/>
  <c r="F121" i="27" s="1"/>
  <c r="F679"/>
  <c r="F493"/>
  <c r="F122"/>
  <c r="F680"/>
  <c r="F494"/>
  <c r="F123"/>
  <c r="F681"/>
  <c r="F495"/>
  <c r="F124"/>
  <c r="F682"/>
  <c r="F496"/>
  <c r="F125"/>
  <c r="F683"/>
  <c r="F497"/>
  <c r="F126"/>
  <c r="F684"/>
  <c r="F498"/>
  <c r="F127"/>
  <c r="F685"/>
  <c r="F499"/>
  <c r="F128"/>
  <c r="E1244"/>
  <c r="F314"/>
  <c r="F1058" s="1"/>
  <c r="F686"/>
  <c r="F500"/>
  <c r="F129"/>
  <c r="F687"/>
  <c r="F501"/>
  <c r="F130"/>
  <c r="F688"/>
  <c r="F502"/>
  <c r="F131"/>
  <c r="F689"/>
  <c r="F503"/>
  <c r="F132"/>
  <c r="F690"/>
  <c r="F504"/>
  <c r="F1062"/>
  <c r="F1248" s="1"/>
  <c r="G318" s="1"/>
  <c r="G117" i="26"/>
  <c r="F133" i="27"/>
  <c r="E1249"/>
  <c r="F319" s="1"/>
  <c r="F1063" s="1"/>
  <c r="F691"/>
  <c r="F505"/>
  <c r="F134"/>
  <c r="E1250"/>
  <c r="F320"/>
  <c r="F692"/>
  <c r="F506"/>
  <c r="F135"/>
  <c r="F693"/>
  <c r="F507"/>
  <c r="F136"/>
  <c r="F694"/>
  <c r="F508"/>
  <c r="F695"/>
  <c r="F509"/>
  <c r="F138"/>
  <c r="F696"/>
  <c r="F510"/>
  <c r="F139"/>
  <c r="F697"/>
  <c r="F511"/>
  <c r="F140"/>
  <c r="E1256"/>
  <c r="F326" s="1"/>
  <c r="F698"/>
  <c r="F512"/>
  <c r="F141"/>
  <c r="F699"/>
  <c r="F513"/>
  <c r="F142"/>
  <c r="F700"/>
  <c r="F514"/>
  <c r="F143"/>
  <c r="F701"/>
  <c r="F515"/>
  <c r="F144"/>
  <c r="F702"/>
  <c r="F516"/>
  <c r="F145"/>
  <c r="E1261"/>
  <c r="F331" s="1"/>
  <c r="F1075" s="1"/>
  <c r="F703"/>
  <c r="F517"/>
  <c r="F704"/>
  <c r="F518"/>
  <c r="F705"/>
  <c r="F519"/>
  <c r="F148"/>
  <c r="F706"/>
  <c r="F520"/>
  <c r="F149"/>
  <c r="E1265"/>
  <c r="F335" s="1"/>
  <c r="F1079" s="1"/>
  <c r="F707"/>
  <c r="F521"/>
  <c r="F150"/>
  <c r="F708"/>
  <c r="F522"/>
  <c r="F1080" s="1"/>
  <c r="F1266" s="1"/>
  <c r="G336" s="1"/>
  <c r="F151"/>
  <c r="E1267"/>
  <c r="F337" s="1"/>
  <c r="F1081" s="1"/>
  <c r="F709"/>
  <c r="F523"/>
  <c r="F152"/>
  <c r="F1082" s="1"/>
  <c r="E1268"/>
  <c r="F338" s="1"/>
  <c r="F710"/>
  <c r="F524"/>
  <c r="F153"/>
  <c r="F711"/>
  <c r="F525"/>
  <c r="G138" i="26"/>
  <c r="F154" i="27" s="1"/>
  <c r="F712"/>
  <c r="F526"/>
  <c r="F155"/>
  <c r="F713"/>
  <c r="F527"/>
  <c r="F156"/>
  <c r="F714"/>
  <c r="F528"/>
  <c r="F715"/>
  <c r="F529"/>
  <c r="F716"/>
  <c r="F530"/>
  <c r="F159"/>
  <c r="F717"/>
  <c r="F531"/>
  <c r="F160"/>
  <c r="E1276"/>
  <c r="F346"/>
  <c r="F718"/>
  <c r="F532"/>
  <c r="F161"/>
  <c r="F719"/>
  <c r="F533"/>
  <c r="F162"/>
  <c r="F720"/>
  <c r="F534"/>
  <c r="F163"/>
  <c r="F721"/>
  <c r="F535"/>
  <c r="F164"/>
  <c r="F722"/>
  <c r="F536"/>
  <c r="F165"/>
  <c r="E1281"/>
  <c r="F351" s="1"/>
  <c r="F723"/>
  <c r="F537"/>
  <c r="F166"/>
  <c r="E1282"/>
  <c r="F352"/>
  <c r="F724"/>
  <c r="F538"/>
  <c r="F167"/>
  <c r="F725"/>
  <c r="F539"/>
  <c r="F168"/>
  <c r="F726"/>
  <c r="F540"/>
  <c r="F169"/>
  <c r="F727"/>
  <c r="F541"/>
  <c r="F170"/>
  <c r="F728"/>
  <c r="F542"/>
  <c r="F171"/>
  <c r="E1287"/>
  <c r="F357" s="1"/>
  <c r="F729"/>
  <c r="F543"/>
  <c r="F172"/>
  <c r="F730"/>
  <c r="F544"/>
  <c r="F173"/>
  <c r="F731"/>
  <c r="F545"/>
  <c r="F174"/>
  <c r="F732"/>
  <c r="F546"/>
  <c r="F733"/>
  <c r="F547"/>
  <c r="F176"/>
  <c r="F734"/>
  <c r="F548"/>
  <c r="F177"/>
  <c r="E1293"/>
  <c r="F363" s="1"/>
  <c r="F735"/>
  <c r="F549"/>
  <c r="F178"/>
  <c r="F736"/>
  <c r="F550"/>
  <c r="F737"/>
  <c r="F551"/>
  <c r="F180"/>
  <c r="F738"/>
  <c r="F552"/>
  <c r="F181"/>
  <c r="F739"/>
  <c r="F553"/>
  <c r="F182"/>
  <c r="E1298"/>
  <c r="F368"/>
  <c r="F740"/>
  <c r="F554"/>
  <c r="F741"/>
  <c r="F555"/>
  <c r="F184"/>
  <c r="F742"/>
  <c r="F556"/>
  <c r="F185"/>
  <c r="E1301"/>
  <c r="F371"/>
  <c r="F743"/>
  <c r="F557"/>
  <c r="F186"/>
  <c r="E1302"/>
  <c r="F372" s="1"/>
  <c r="F744"/>
  <c r="F558"/>
  <c r="F745"/>
  <c r="F559"/>
  <c r="F188"/>
  <c r="F746"/>
  <c r="F560"/>
  <c r="F189"/>
  <c r="F747"/>
  <c r="F561"/>
  <c r="F190"/>
  <c r="F748"/>
  <c r="F562"/>
  <c r="F191"/>
  <c r="F749"/>
  <c r="F563"/>
  <c r="F192"/>
  <c r="E1308"/>
  <c r="F378" s="1"/>
  <c r="F1122" s="1"/>
  <c r="F750"/>
  <c r="F564"/>
  <c r="F193"/>
  <c r="F751"/>
  <c r="F565"/>
  <c r="F752"/>
  <c r="F566"/>
  <c r="F195"/>
  <c r="E1311"/>
  <c r="F381" s="1"/>
  <c r="F753"/>
  <c r="F567"/>
  <c r="F196"/>
  <c r="F754"/>
  <c r="F568"/>
  <c r="F755"/>
  <c r="F569"/>
  <c r="F198"/>
  <c r="E1314"/>
  <c r="F384"/>
  <c r="F756"/>
  <c r="F570"/>
  <c r="F1128"/>
  <c r="F757"/>
  <c r="F571"/>
  <c r="F200"/>
  <c r="E1316"/>
  <c r="F386"/>
  <c r="F1130" s="1"/>
  <c r="F758"/>
  <c r="F572"/>
  <c r="F201"/>
  <c r="F759"/>
  <c r="F573"/>
  <c r="F760"/>
  <c r="F574"/>
  <c r="F203"/>
  <c r="F761"/>
  <c r="F575"/>
  <c r="F22" i="29"/>
  <c r="E140"/>
  <c r="F44" s="1"/>
  <c r="F116"/>
  <c r="F23"/>
  <c r="E141"/>
  <c r="F45"/>
  <c r="F24"/>
  <c r="F25"/>
  <c r="F47"/>
  <c r="F119" s="1"/>
  <c r="F143" s="1"/>
  <c r="G47" s="1"/>
  <c r="F26"/>
  <c r="E144"/>
  <c r="F48" s="1"/>
  <c r="F120" s="1"/>
  <c r="F27"/>
  <c r="E145"/>
  <c r="F49" s="1"/>
  <c r="F28"/>
  <c r="F122" s="1"/>
  <c r="E146"/>
  <c r="F50" s="1"/>
  <c r="F29"/>
  <c r="F123" s="1"/>
  <c r="E147"/>
  <c r="F51"/>
  <c r="F30"/>
  <c r="F31"/>
  <c r="F33"/>
  <c r="E151"/>
  <c r="F55" s="1"/>
  <c r="F127" s="1"/>
  <c r="F34"/>
  <c r="F128" s="1"/>
  <c r="F152" s="1"/>
  <c r="E152"/>
  <c r="F56" s="1"/>
  <c r="F35"/>
  <c r="F129" s="1"/>
  <c r="E153"/>
  <c r="F57"/>
  <c r="F36"/>
  <c r="F130" s="1"/>
  <c r="F154" s="1"/>
  <c r="E154"/>
  <c r="F58" s="1"/>
  <c r="F37"/>
  <c r="F39"/>
  <c r="E157"/>
  <c r="F61" s="1"/>
  <c r="F40"/>
  <c r="F41"/>
  <c r="F135" s="1"/>
  <c r="E159"/>
  <c r="F63"/>
  <c r="G9" i="2"/>
  <c r="G7" i="4" s="1"/>
  <c r="F21" i="3"/>
  <c r="F22"/>
  <c r="F23"/>
  <c r="F24"/>
  <c r="F25"/>
  <c r="F26"/>
  <c r="F27"/>
  <c r="F28"/>
  <c r="F30"/>
  <c r="F31"/>
  <c r="F32"/>
  <c r="F33"/>
  <c r="F34"/>
  <c r="F35"/>
  <c r="F36"/>
  <c r="F38"/>
  <c r="F39"/>
  <c r="F40"/>
  <c r="F22" i="9"/>
  <c r="F23"/>
  <c r="F24"/>
  <c r="F25"/>
  <c r="F26"/>
  <c r="F27"/>
  <c r="F28"/>
  <c r="F29"/>
  <c r="F30"/>
  <c r="F31"/>
  <c r="F32"/>
  <c r="F34"/>
  <c r="F35"/>
  <c r="F36"/>
  <c r="F37"/>
  <c r="F38"/>
  <c r="F39"/>
  <c r="F40"/>
  <c r="F41"/>
  <c r="F42"/>
  <c r="F44"/>
  <c r="F45"/>
  <c r="F46"/>
  <c r="F47"/>
  <c r="F48"/>
  <c r="F49"/>
  <c r="F50"/>
  <c r="F51"/>
  <c r="F52"/>
  <c r="F53"/>
  <c r="F54"/>
  <c r="F55"/>
  <c r="F56"/>
  <c r="F57"/>
  <c r="F58"/>
  <c r="F59"/>
  <c r="F60"/>
  <c r="F61"/>
  <c r="F62"/>
  <c r="F63"/>
  <c r="F64"/>
  <c r="F65"/>
  <c r="F66"/>
  <c r="F67"/>
  <c r="F68"/>
  <c r="F69"/>
  <c r="F70"/>
  <c r="F71"/>
  <c r="F72"/>
  <c r="F73"/>
  <c r="F74"/>
  <c r="F75"/>
  <c r="F76"/>
  <c r="F78"/>
  <c r="F79"/>
  <c r="F80"/>
  <c r="F81"/>
  <c r="F83"/>
  <c r="F84"/>
  <c r="F85"/>
  <c r="F86"/>
  <c r="F87"/>
  <c r="F88"/>
  <c r="F89"/>
  <c r="F90"/>
  <c r="F91"/>
  <c r="F92"/>
  <c r="F93"/>
  <c r="F94"/>
  <c r="F95"/>
  <c r="F96"/>
  <c r="F97"/>
  <c r="F98"/>
  <c r="F99"/>
  <c r="F100"/>
  <c r="F102"/>
  <c r="F103"/>
  <c r="F104"/>
  <c r="F106"/>
  <c r="F107"/>
  <c r="F108"/>
  <c r="F110"/>
  <c r="F111"/>
  <c r="F112"/>
  <c r="F113"/>
  <c r="F114"/>
  <c r="F115"/>
  <c r="F116"/>
  <c r="F118"/>
  <c r="F119"/>
  <c r="F120"/>
  <c r="F121"/>
  <c r="F122"/>
  <c r="F123"/>
  <c r="F124"/>
  <c r="F125"/>
  <c r="F126"/>
  <c r="F127"/>
  <c r="F128"/>
  <c r="F129"/>
  <c r="F130"/>
  <c r="F131"/>
  <c r="F132"/>
  <c r="F133"/>
  <c r="F134"/>
  <c r="F135"/>
  <c r="F136"/>
  <c r="F137"/>
  <c r="F139"/>
  <c r="F140"/>
  <c r="F141"/>
  <c r="F142"/>
  <c r="F143"/>
  <c r="F144"/>
  <c r="F145"/>
  <c r="F146"/>
  <c r="F149"/>
  <c r="F150"/>
  <c r="F151"/>
  <c r="F152"/>
  <c r="F154"/>
  <c r="F155"/>
  <c r="F156"/>
  <c r="F157"/>
  <c r="F158"/>
  <c r="F159"/>
  <c r="F160"/>
  <c r="F162"/>
  <c r="F163"/>
  <c r="F164"/>
  <c r="F165"/>
  <c r="F166"/>
  <c r="F167"/>
  <c r="F168"/>
  <c r="F169"/>
  <c r="F170"/>
  <c r="F171"/>
  <c r="F172"/>
  <c r="F173"/>
  <c r="F174"/>
  <c r="F175"/>
  <c r="F177"/>
  <c r="F178"/>
  <c r="F179"/>
  <c r="F180"/>
  <c r="F181"/>
  <c r="F182"/>
  <c r="F183"/>
  <c r="F184"/>
  <c r="F186"/>
  <c r="F187"/>
  <c r="F189"/>
  <c r="F190"/>
  <c r="F191"/>
  <c r="F192"/>
  <c r="F193"/>
  <c r="F194"/>
  <c r="F196"/>
  <c r="F197"/>
  <c r="F198"/>
  <c r="F199"/>
  <c r="F200"/>
  <c r="F201"/>
  <c r="F202"/>
  <c r="F203"/>
  <c r="F204"/>
  <c r="H13" i="2"/>
  <c r="H11" i="43" s="1"/>
  <c r="H5" i="2"/>
  <c r="H6" i="36" s="1"/>
  <c r="H21" s="1"/>
  <c r="H6" i="23"/>
  <c r="H7" i="45"/>
  <c r="H8"/>
  <c r="H27" i="23"/>
  <c r="G738" i="9"/>
  <c r="G739"/>
  <c r="G740"/>
  <c r="G741"/>
  <c r="G742"/>
  <c r="G743"/>
  <c r="G744"/>
  <c r="G745"/>
  <c r="G746"/>
  <c r="G747"/>
  <c r="G748"/>
  <c r="G749"/>
  <c r="G750"/>
  <c r="G751"/>
  <c r="G752"/>
  <c r="G753"/>
  <c r="G754"/>
  <c r="G755"/>
  <c r="G756"/>
  <c r="G757"/>
  <c r="G758"/>
  <c r="G759"/>
  <c r="T164" i="26"/>
  <c r="T165"/>
  <c r="T166"/>
  <c r="T167"/>
  <c r="T168"/>
  <c r="T169"/>
  <c r="T170"/>
  <c r="T171"/>
  <c r="T172"/>
  <c r="T173"/>
  <c r="T174"/>
  <c r="T175"/>
  <c r="T176"/>
  <c r="T177"/>
  <c r="T178"/>
  <c r="T179"/>
  <c r="T180"/>
  <c r="T181"/>
  <c r="T182"/>
  <c r="T183"/>
  <c r="T184"/>
  <c r="T185"/>
  <c r="T5"/>
  <c r="T6"/>
  <c r="T7"/>
  <c r="T8"/>
  <c r="T9"/>
  <c r="T10"/>
  <c r="T11"/>
  <c r="T12"/>
  <c r="T13"/>
  <c r="T14"/>
  <c r="T15"/>
  <c r="T16"/>
  <c r="T17"/>
  <c r="T18"/>
  <c r="T19"/>
  <c r="T20"/>
  <c r="T21"/>
  <c r="T22"/>
  <c r="T23"/>
  <c r="T24"/>
  <c r="T25"/>
  <c r="T26"/>
  <c r="T27"/>
  <c r="T28"/>
  <c r="T29"/>
  <c r="T30"/>
  <c r="T31"/>
  <c r="T32"/>
  <c r="T33"/>
  <c r="T34"/>
  <c r="T35"/>
  <c r="T36"/>
  <c r="T37"/>
  <c r="T38"/>
  <c r="T39"/>
  <c r="T40"/>
  <c r="T41"/>
  <c r="T42"/>
  <c r="T43"/>
  <c r="T44"/>
  <c r="T45"/>
  <c r="T46"/>
  <c r="T47"/>
  <c r="T48"/>
  <c r="T49"/>
  <c r="T50"/>
  <c r="T51"/>
  <c r="T52"/>
  <c r="T53"/>
  <c r="T54"/>
  <c r="T55"/>
  <c r="T56"/>
  <c r="T57"/>
  <c r="T58"/>
  <c r="T59"/>
  <c r="T60"/>
  <c r="T61"/>
  <c r="T62"/>
  <c r="T63"/>
  <c r="T64"/>
  <c r="T65"/>
  <c r="T66"/>
  <c r="T67"/>
  <c r="T68"/>
  <c r="T69"/>
  <c r="T70"/>
  <c r="T71"/>
  <c r="T72"/>
  <c r="T73"/>
  <c r="T74"/>
  <c r="T75"/>
  <c r="T76"/>
  <c r="T77"/>
  <c r="T78"/>
  <c r="T79"/>
  <c r="T80"/>
  <c r="T81"/>
  <c r="T82"/>
  <c r="T83"/>
  <c r="T84"/>
  <c r="T85"/>
  <c r="T86"/>
  <c r="T87"/>
  <c r="T88"/>
  <c r="T89"/>
  <c r="T90"/>
  <c r="T91"/>
  <c r="T92"/>
  <c r="T93"/>
  <c r="T94"/>
  <c r="T95"/>
  <c r="T96"/>
  <c r="T97"/>
  <c r="T98"/>
  <c r="T99"/>
  <c r="T100"/>
  <c r="T101"/>
  <c r="T102"/>
  <c r="T103"/>
  <c r="T104"/>
  <c r="T105"/>
  <c r="T106"/>
  <c r="T107"/>
  <c r="T108"/>
  <c r="T109"/>
  <c r="T110"/>
  <c r="T111"/>
  <c r="T112"/>
  <c r="T113"/>
  <c r="T114"/>
  <c r="T115"/>
  <c r="T116"/>
  <c r="T117"/>
  <c r="T118"/>
  <c r="T119"/>
  <c r="T120"/>
  <c r="T121"/>
  <c r="T122"/>
  <c r="T123"/>
  <c r="T124"/>
  <c r="T125"/>
  <c r="T126"/>
  <c r="T127"/>
  <c r="T128"/>
  <c r="T129"/>
  <c r="T130"/>
  <c r="T131"/>
  <c r="T132"/>
  <c r="T133"/>
  <c r="T134"/>
  <c r="T135"/>
  <c r="T136"/>
  <c r="T137"/>
  <c r="T138"/>
  <c r="T139"/>
  <c r="T140"/>
  <c r="T141"/>
  <c r="T142"/>
  <c r="T143"/>
  <c r="T144"/>
  <c r="T145"/>
  <c r="T146"/>
  <c r="T147"/>
  <c r="T148"/>
  <c r="T149"/>
  <c r="T150"/>
  <c r="T151"/>
  <c r="T152"/>
  <c r="T153"/>
  <c r="T154"/>
  <c r="T155"/>
  <c r="T156"/>
  <c r="T157"/>
  <c r="T158"/>
  <c r="T159"/>
  <c r="T160"/>
  <c r="T161"/>
  <c r="T162"/>
  <c r="T163"/>
  <c r="C4" i="46"/>
  <c r="T4" i="30"/>
  <c r="T5"/>
  <c r="T6"/>
  <c r="T7"/>
  <c r="T8"/>
  <c r="T9"/>
  <c r="T10"/>
  <c r="T11"/>
  <c r="T12"/>
  <c r="T13"/>
  <c r="T14"/>
  <c r="T15"/>
  <c r="T16"/>
  <c r="T17"/>
  <c r="T18"/>
  <c r="T19"/>
  <c r="T20"/>
  <c r="T21"/>
  <c r="T22"/>
  <c r="T23"/>
  <c r="T24"/>
  <c r="T25"/>
  <c r="T26"/>
  <c r="T27"/>
  <c r="T28"/>
  <c r="T29"/>
  <c r="T30"/>
  <c r="T31"/>
  <c r="T32"/>
  <c r="T33"/>
  <c r="T34"/>
  <c r="T35"/>
  <c r="T36"/>
  <c r="T37"/>
  <c r="T38"/>
  <c r="T39"/>
  <c r="T40"/>
  <c r="T41"/>
  <c r="T42"/>
  <c r="T43"/>
  <c r="T44"/>
  <c r="T45"/>
  <c r="T46"/>
  <c r="T47"/>
  <c r="T48"/>
  <c r="T49"/>
  <c r="T50"/>
  <c r="T51"/>
  <c r="T52"/>
  <c r="T53"/>
  <c r="T54"/>
  <c r="T55"/>
  <c r="T56"/>
  <c r="T57"/>
  <c r="T58"/>
  <c r="T59"/>
  <c r="T60"/>
  <c r="T61"/>
  <c r="T62"/>
  <c r="T63"/>
  <c r="T64"/>
  <c r="T65"/>
  <c r="T66"/>
  <c r="T67"/>
  <c r="T68"/>
  <c r="T69"/>
  <c r="T70"/>
  <c r="T71"/>
  <c r="T72"/>
  <c r="T73"/>
  <c r="T74"/>
  <c r="T75"/>
  <c r="T76"/>
  <c r="T77"/>
  <c r="T78"/>
  <c r="T79"/>
  <c r="T80"/>
  <c r="T81"/>
  <c r="T82"/>
  <c r="T83"/>
  <c r="T84"/>
  <c r="T85"/>
  <c r="T86"/>
  <c r="T87"/>
  <c r="T88"/>
  <c r="T89"/>
  <c r="T90"/>
  <c r="T91"/>
  <c r="T92"/>
  <c r="T93"/>
  <c r="T94"/>
  <c r="T95"/>
  <c r="T96"/>
  <c r="T97"/>
  <c r="T98"/>
  <c r="T99"/>
  <c r="T100"/>
  <c r="T101"/>
  <c r="T102"/>
  <c r="T103"/>
  <c r="T104"/>
  <c r="T105"/>
  <c r="T106"/>
  <c r="T107"/>
  <c r="T108"/>
  <c r="T109"/>
  <c r="T110"/>
  <c r="T111"/>
  <c r="T112"/>
  <c r="T113"/>
  <c r="T114"/>
  <c r="T115"/>
  <c r="T116"/>
  <c r="T117"/>
  <c r="T118"/>
  <c r="T119"/>
  <c r="T120"/>
  <c r="T121"/>
  <c r="T122"/>
  <c r="T123"/>
  <c r="T124"/>
  <c r="T125"/>
  <c r="T126"/>
  <c r="T127"/>
  <c r="T128"/>
  <c r="T129"/>
  <c r="T130"/>
  <c r="T131"/>
  <c r="T132"/>
  <c r="T133"/>
  <c r="T134"/>
  <c r="T135"/>
  <c r="T136"/>
  <c r="T137"/>
  <c r="T138"/>
  <c r="T139"/>
  <c r="T140"/>
  <c r="T141"/>
  <c r="T142"/>
  <c r="T143"/>
  <c r="T144"/>
  <c r="T145"/>
  <c r="T146"/>
  <c r="T147"/>
  <c r="T148"/>
  <c r="G761" i="9"/>
  <c r="G579"/>
  <c r="G580"/>
  <c r="G581"/>
  <c r="G582"/>
  <c r="G583"/>
  <c r="G584"/>
  <c r="G585"/>
  <c r="G586"/>
  <c r="G587"/>
  <c r="G588"/>
  <c r="G589"/>
  <c r="G590"/>
  <c r="G591"/>
  <c r="G592"/>
  <c r="G593"/>
  <c r="G594"/>
  <c r="G595"/>
  <c r="G596"/>
  <c r="G597"/>
  <c r="G598"/>
  <c r="G599"/>
  <c r="G600"/>
  <c r="G601"/>
  <c r="G602"/>
  <c r="G603"/>
  <c r="G604"/>
  <c r="G605"/>
  <c r="G606"/>
  <c r="G607"/>
  <c r="G608"/>
  <c r="G609"/>
  <c r="G610"/>
  <c r="G611"/>
  <c r="G612"/>
  <c r="G613"/>
  <c r="G614"/>
  <c r="G615"/>
  <c r="G616"/>
  <c r="G617"/>
  <c r="G618"/>
  <c r="G619"/>
  <c r="G620"/>
  <c r="G621"/>
  <c r="G622"/>
  <c r="G623"/>
  <c r="G624"/>
  <c r="G625"/>
  <c r="G626"/>
  <c r="G627"/>
  <c r="G628"/>
  <c r="G629"/>
  <c r="G630"/>
  <c r="G631"/>
  <c r="G632"/>
  <c r="G633"/>
  <c r="G634"/>
  <c r="G635"/>
  <c r="G636"/>
  <c r="G637"/>
  <c r="G638"/>
  <c r="G639"/>
  <c r="G640"/>
  <c r="G641"/>
  <c r="G642"/>
  <c r="G643"/>
  <c r="G644"/>
  <c r="G645"/>
  <c r="G646"/>
  <c r="G647"/>
  <c r="G648"/>
  <c r="G649"/>
  <c r="G650"/>
  <c r="G651"/>
  <c r="G652"/>
  <c r="G653"/>
  <c r="G654"/>
  <c r="G655"/>
  <c r="G656"/>
  <c r="G657"/>
  <c r="G658"/>
  <c r="G659"/>
  <c r="G660"/>
  <c r="G661"/>
  <c r="G662"/>
  <c r="G663"/>
  <c r="G664"/>
  <c r="G665"/>
  <c r="G666"/>
  <c r="G667"/>
  <c r="G668"/>
  <c r="G669"/>
  <c r="G670"/>
  <c r="G671"/>
  <c r="G672"/>
  <c r="G673"/>
  <c r="G674"/>
  <c r="G675"/>
  <c r="G676"/>
  <c r="G677"/>
  <c r="G678"/>
  <c r="G679"/>
  <c r="G680"/>
  <c r="G681"/>
  <c r="G682"/>
  <c r="G683"/>
  <c r="G684"/>
  <c r="G685"/>
  <c r="G686"/>
  <c r="G687"/>
  <c r="G688"/>
  <c r="G689"/>
  <c r="G690"/>
  <c r="G691"/>
  <c r="G692"/>
  <c r="G693"/>
  <c r="G694"/>
  <c r="G695"/>
  <c r="G696"/>
  <c r="G697"/>
  <c r="G698"/>
  <c r="G699"/>
  <c r="G700"/>
  <c r="G701"/>
  <c r="G702"/>
  <c r="G703"/>
  <c r="G704"/>
  <c r="G705"/>
  <c r="G706"/>
  <c r="G707"/>
  <c r="G708"/>
  <c r="G709"/>
  <c r="G710"/>
  <c r="G711"/>
  <c r="G712"/>
  <c r="G713"/>
  <c r="G714"/>
  <c r="G715"/>
  <c r="G716"/>
  <c r="G717"/>
  <c r="G718"/>
  <c r="G719"/>
  <c r="G720"/>
  <c r="G721"/>
  <c r="G722"/>
  <c r="G723"/>
  <c r="G724"/>
  <c r="G725"/>
  <c r="G726"/>
  <c r="G727"/>
  <c r="G728"/>
  <c r="G729"/>
  <c r="G730"/>
  <c r="G731"/>
  <c r="G732"/>
  <c r="G733"/>
  <c r="G734"/>
  <c r="G735"/>
  <c r="G736"/>
  <c r="G737"/>
  <c r="H20" i="2"/>
  <c r="H60"/>
  <c r="H25" i="4"/>
  <c r="H36" s="1"/>
  <c r="G21" i="27"/>
  <c r="G579"/>
  <c r="G393"/>
  <c r="G22"/>
  <c r="F1138"/>
  <c r="G208"/>
  <c r="G580"/>
  <c r="G394"/>
  <c r="G952"/>
  <c r="G23"/>
  <c r="G581"/>
  <c r="G395"/>
  <c r="G582"/>
  <c r="G396"/>
  <c r="G25"/>
  <c r="G583"/>
  <c r="G397"/>
  <c r="G584"/>
  <c r="G398"/>
  <c r="G27"/>
  <c r="G957" s="1"/>
  <c r="F1143"/>
  <c r="G213"/>
  <c r="G585"/>
  <c r="G399"/>
  <c r="G28"/>
  <c r="F1144"/>
  <c r="G214" s="1"/>
  <c r="G586"/>
  <c r="G400"/>
  <c r="G29"/>
  <c r="G587"/>
  <c r="G401"/>
  <c r="G14" i="26"/>
  <c r="G30" i="27" s="1"/>
  <c r="G588"/>
  <c r="G402"/>
  <c r="G31"/>
  <c r="G589"/>
  <c r="G961" s="1"/>
  <c r="G403"/>
  <c r="G590"/>
  <c r="G404"/>
  <c r="G33"/>
  <c r="G591"/>
  <c r="G405"/>
  <c r="G34"/>
  <c r="G592"/>
  <c r="G406"/>
  <c r="G19" i="26"/>
  <c r="G35" i="27"/>
  <c r="G593"/>
  <c r="G407"/>
  <c r="G36"/>
  <c r="G594"/>
  <c r="G408"/>
  <c r="G37"/>
  <c r="G595"/>
  <c r="G409"/>
  <c r="G38"/>
  <c r="G596"/>
  <c r="G410"/>
  <c r="G39"/>
  <c r="G597"/>
  <c r="G411"/>
  <c r="G40"/>
  <c r="G598"/>
  <c r="G412"/>
  <c r="G25" i="26"/>
  <c r="G41" i="27"/>
  <c r="G599"/>
  <c r="G413"/>
  <c r="G42"/>
  <c r="F1158"/>
  <c r="G228" s="1"/>
  <c r="G972" s="1"/>
  <c r="G600"/>
  <c r="G414"/>
  <c r="G43"/>
  <c r="G601"/>
  <c r="G415"/>
  <c r="G44"/>
  <c r="G602"/>
  <c r="G416"/>
  <c r="G29" i="26"/>
  <c r="G45" i="27" s="1"/>
  <c r="G603"/>
  <c r="G417"/>
  <c r="G46"/>
  <c r="G604"/>
  <c r="G418"/>
  <c r="G47"/>
  <c r="G605"/>
  <c r="G419"/>
  <c r="G32" i="26"/>
  <c r="G48" i="27" s="1"/>
  <c r="F1164"/>
  <c r="G234" s="1"/>
  <c r="G606"/>
  <c r="G420"/>
  <c r="G49"/>
  <c r="G607"/>
  <c r="G421"/>
  <c r="G50"/>
  <c r="G608"/>
  <c r="G422"/>
  <c r="G51"/>
  <c r="G609"/>
  <c r="G423"/>
  <c r="G36" i="26"/>
  <c r="G52" i="27"/>
  <c r="G610"/>
  <c r="G424"/>
  <c r="G53"/>
  <c r="F1169"/>
  <c r="G239"/>
  <c r="G983" s="1"/>
  <c r="G611"/>
  <c r="G425"/>
  <c r="G54"/>
  <c r="G612"/>
  <c r="G426"/>
  <c r="G55"/>
  <c r="G613"/>
  <c r="G427"/>
  <c r="G56"/>
  <c r="G614"/>
  <c r="G428"/>
  <c r="G57"/>
  <c r="G615"/>
  <c r="G429"/>
  <c r="G42" i="26"/>
  <c r="G58" i="27"/>
  <c r="F1174"/>
  <c r="G244" s="1"/>
  <c r="G616"/>
  <c r="G430"/>
  <c r="G988"/>
  <c r="G59"/>
  <c r="F1175"/>
  <c r="G245"/>
  <c r="G617"/>
  <c r="G431"/>
  <c r="G989"/>
  <c r="G60"/>
  <c r="G618"/>
  <c r="G432"/>
  <c r="G45" i="26"/>
  <c r="G61" i="27"/>
  <c r="G619"/>
  <c r="G433"/>
  <c r="G620"/>
  <c r="G434"/>
  <c r="G63"/>
  <c r="G993" s="1"/>
  <c r="G621"/>
  <c r="G435"/>
  <c r="G64"/>
  <c r="G622"/>
  <c r="G436"/>
  <c r="G65"/>
  <c r="F1181"/>
  <c r="G251"/>
  <c r="G623"/>
  <c r="G437"/>
  <c r="G66"/>
  <c r="G624"/>
  <c r="G438"/>
  <c r="G67"/>
  <c r="G625"/>
  <c r="G439"/>
  <c r="G52" i="26"/>
  <c r="G69" i="9" s="1"/>
  <c r="F1184" i="27"/>
  <c r="G254" s="1"/>
  <c r="G626"/>
  <c r="G440"/>
  <c r="G69"/>
  <c r="G627"/>
  <c r="G441"/>
  <c r="G70"/>
  <c r="G628"/>
  <c r="G442"/>
  <c r="G55" i="26"/>
  <c r="G71" i="27"/>
  <c r="G629"/>
  <c r="G443"/>
  <c r="G72"/>
  <c r="G630"/>
  <c r="G444"/>
  <c r="G57" i="26"/>
  <c r="G73" i="27" s="1"/>
  <c r="G631"/>
  <c r="G445"/>
  <c r="G74"/>
  <c r="F1190"/>
  <c r="G260" s="1"/>
  <c r="G632"/>
  <c r="G446"/>
  <c r="G75"/>
  <c r="G633"/>
  <c r="G447"/>
  <c r="G76"/>
  <c r="G634"/>
  <c r="G448"/>
  <c r="G77"/>
  <c r="G635"/>
  <c r="G449"/>
  <c r="G78"/>
  <c r="G636"/>
  <c r="G450"/>
  <c r="G79"/>
  <c r="G637"/>
  <c r="G451"/>
  <c r="G80"/>
  <c r="G638"/>
  <c r="G452"/>
  <c r="G639"/>
  <c r="G453"/>
  <c r="G82"/>
  <c r="G640"/>
  <c r="G454"/>
  <c r="G67" i="26"/>
  <c r="G83" i="27"/>
  <c r="G641"/>
  <c r="G455"/>
  <c r="G84"/>
  <c r="G642"/>
  <c r="G456"/>
  <c r="G85"/>
  <c r="G643"/>
  <c r="G457"/>
  <c r="G86"/>
  <c r="G644"/>
  <c r="G458"/>
  <c r="G87"/>
  <c r="F1203"/>
  <c r="G273"/>
  <c r="G645"/>
  <c r="G459"/>
  <c r="G72" i="26"/>
  <c r="G88" i="27" s="1"/>
  <c r="G646"/>
  <c r="G460"/>
  <c r="G647"/>
  <c r="G461"/>
  <c r="G90"/>
  <c r="G648"/>
  <c r="G462"/>
  <c r="G91"/>
  <c r="G649"/>
  <c r="G463"/>
  <c r="G92"/>
  <c r="F1208"/>
  <c r="G278" s="1"/>
  <c r="G650"/>
  <c r="G464"/>
  <c r="G77" i="26"/>
  <c r="G93" i="27"/>
  <c r="G651"/>
  <c r="G465"/>
  <c r="G78" i="26"/>
  <c r="G94" i="27"/>
  <c r="G652"/>
  <c r="G466"/>
  <c r="G95"/>
  <c r="G653"/>
  <c r="G467"/>
  <c r="G654"/>
  <c r="G468"/>
  <c r="G97"/>
  <c r="G655"/>
  <c r="G469"/>
  <c r="G82" i="26"/>
  <c r="G98" i="27"/>
  <c r="G656"/>
  <c r="G470"/>
  <c r="G99"/>
  <c r="G657"/>
  <c r="G471"/>
  <c r="G84" i="26"/>
  <c r="G658" i="27"/>
  <c r="G472"/>
  <c r="G101"/>
  <c r="G659"/>
  <c r="G473"/>
  <c r="G86" i="26"/>
  <c r="G102" i="27"/>
  <c r="G660"/>
  <c r="G474"/>
  <c r="G661"/>
  <c r="G475"/>
  <c r="G662"/>
  <c r="G476"/>
  <c r="G89" i="26"/>
  <c r="G105" i="27"/>
  <c r="G663"/>
  <c r="G477"/>
  <c r="G106"/>
  <c r="F1222"/>
  <c r="G292"/>
  <c r="G1036" s="1"/>
  <c r="G664"/>
  <c r="G478"/>
  <c r="G107"/>
  <c r="G665"/>
  <c r="G479"/>
  <c r="G666"/>
  <c r="G480"/>
  <c r="G93" i="26"/>
  <c r="F1225" i="27"/>
  <c r="G295"/>
  <c r="G667"/>
  <c r="G481"/>
  <c r="G110"/>
  <c r="G668"/>
  <c r="G482"/>
  <c r="G95" i="26"/>
  <c r="G111" i="27" s="1"/>
  <c r="G669"/>
  <c r="G483"/>
  <c r="G112"/>
  <c r="G670"/>
  <c r="G484"/>
  <c r="G113"/>
  <c r="G671"/>
  <c r="G485"/>
  <c r="G98" i="26"/>
  <c r="G672" i="27"/>
  <c r="G486"/>
  <c r="G673"/>
  <c r="G487"/>
  <c r="G116"/>
  <c r="G674"/>
  <c r="G488"/>
  <c r="G117"/>
  <c r="G303"/>
  <c r="G1047" s="1"/>
  <c r="G675"/>
  <c r="G489"/>
  <c r="G118"/>
  <c r="G676"/>
  <c r="G490"/>
  <c r="G677"/>
  <c r="G491"/>
  <c r="G120"/>
  <c r="G678"/>
  <c r="G492"/>
  <c r="G121"/>
  <c r="G679"/>
  <c r="G493"/>
  <c r="G122"/>
  <c r="G680"/>
  <c r="G494"/>
  <c r="G123"/>
  <c r="G681"/>
  <c r="G495"/>
  <c r="G124"/>
  <c r="G682"/>
  <c r="G496"/>
  <c r="G125"/>
  <c r="G683"/>
  <c r="G497"/>
  <c r="G126"/>
  <c r="G684"/>
  <c r="G498"/>
  <c r="G127"/>
  <c r="G685"/>
  <c r="G499"/>
  <c r="G128"/>
  <c r="F1244"/>
  <c r="G314"/>
  <c r="G686"/>
  <c r="G500"/>
  <c r="G129"/>
  <c r="G687"/>
  <c r="G501"/>
  <c r="G688"/>
  <c r="G502"/>
  <c r="G131"/>
  <c r="G689"/>
  <c r="G503"/>
  <c r="G132"/>
  <c r="G690"/>
  <c r="G504"/>
  <c r="G133"/>
  <c r="F1249"/>
  <c r="G319"/>
  <c r="G1063" s="1"/>
  <c r="G691"/>
  <c r="G505"/>
  <c r="G118" i="26"/>
  <c r="G134" i="27"/>
  <c r="G692"/>
  <c r="G506"/>
  <c r="G135"/>
  <c r="G693"/>
  <c r="G507"/>
  <c r="G136"/>
  <c r="G694"/>
  <c r="G508"/>
  <c r="G695"/>
  <c r="G509"/>
  <c r="G138"/>
  <c r="G696"/>
  <c r="G510"/>
  <c r="G139"/>
  <c r="G697"/>
  <c r="G511"/>
  <c r="G140"/>
  <c r="G698"/>
  <c r="G512"/>
  <c r="G141"/>
  <c r="G699"/>
  <c r="G513"/>
  <c r="G142"/>
  <c r="G700"/>
  <c r="G514"/>
  <c r="G143"/>
  <c r="G701"/>
  <c r="G515"/>
  <c r="G702"/>
  <c r="G516"/>
  <c r="G145"/>
  <c r="F1261"/>
  <c r="G331" s="1"/>
  <c r="G703"/>
  <c r="G517"/>
  <c r="G704"/>
  <c r="G518"/>
  <c r="G705"/>
  <c r="G519"/>
  <c r="G148"/>
  <c r="G706"/>
  <c r="G520"/>
  <c r="G149"/>
  <c r="F1265"/>
  <c r="G335" s="1"/>
  <c r="G707"/>
  <c r="G521"/>
  <c r="G150"/>
  <c r="G708"/>
  <c r="G1080" s="1"/>
  <c r="G522"/>
  <c r="G151"/>
  <c r="F1267"/>
  <c r="G337" s="1"/>
  <c r="G1081" s="1"/>
  <c r="G709"/>
  <c r="G523"/>
  <c r="G152"/>
  <c r="F1268"/>
  <c r="G338" s="1"/>
  <c r="G710"/>
  <c r="G524"/>
  <c r="G153"/>
  <c r="G711"/>
  <c r="G525"/>
  <c r="G154"/>
  <c r="G712"/>
  <c r="G526"/>
  <c r="G139" i="26"/>
  <c r="G155" i="27" s="1"/>
  <c r="G713"/>
  <c r="G527"/>
  <c r="G156"/>
  <c r="G714"/>
  <c r="G528"/>
  <c r="G715"/>
  <c r="G529"/>
  <c r="G716"/>
  <c r="G530"/>
  <c r="G159"/>
  <c r="G717"/>
  <c r="G531"/>
  <c r="G160"/>
  <c r="G718"/>
  <c r="G532"/>
  <c r="G161"/>
  <c r="G719"/>
  <c r="G533"/>
  <c r="G162"/>
  <c r="G720"/>
  <c r="G534"/>
  <c r="G163"/>
  <c r="G721"/>
  <c r="G535"/>
  <c r="G164"/>
  <c r="G722"/>
  <c r="G536"/>
  <c r="G165"/>
  <c r="G723"/>
  <c r="G537"/>
  <c r="G166"/>
  <c r="G724"/>
  <c r="G538"/>
  <c r="G167"/>
  <c r="G725"/>
  <c r="G539"/>
  <c r="G168"/>
  <c r="G726"/>
  <c r="G540"/>
  <c r="G169"/>
  <c r="G727"/>
  <c r="G541"/>
  <c r="G170"/>
  <c r="G728"/>
  <c r="G542"/>
  <c r="G171"/>
  <c r="G729"/>
  <c r="G543"/>
  <c r="G172"/>
  <c r="G730"/>
  <c r="G544"/>
  <c r="G173"/>
  <c r="G731"/>
  <c r="G545"/>
  <c r="G174"/>
  <c r="G732"/>
  <c r="G546"/>
  <c r="G733"/>
  <c r="G547"/>
  <c r="G176"/>
  <c r="G734"/>
  <c r="G548"/>
  <c r="G177"/>
  <c r="G735"/>
  <c r="G549"/>
  <c r="G178"/>
  <c r="G736"/>
  <c r="G550"/>
  <c r="G737"/>
  <c r="G551"/>
  <c r="G180"/>
  <c r="G738"/>
  <c r="G552"/>
  <c r="G181"/>
  <c r="G739"/>
  <c r="G553"/>
  <c r="G182"/>
  <c r="G740"/>
  <c r="G554"/>
  <c r="G741"/>
  <c r="G555"/>
  <c r="G184"/>
  <c r="G742"/>
  <c r="G556"/>
  <c r="G185"/>
  <c r="G743"/>
  <c r="G557"/>
  <c r="G186"/>
  <c r="G744"/>
  <c r="G558"/>
  <c r="G745"/>
  <c r="G559"/>
  <c r="G188"/>
  <c r="G746"/>
  <c r="G560"/>
  <c r="G189"/>
  <c r="G747"/>
  <c r="G561"/>
  <c r="G190"/>
  <c r="G748"/>
  <c r="G562"/>
  <c r="G191"/>
  <c r="G749"/>
  <c r="G563"/>
  <c r="G192"/>
  <c r="F1308"/>
  <c r="G378" s="1"/>
  <c r="G750"/>
  <c r="G564"/>
  <c r="G193"/>
  <c r="G751"/>
  <c r="G565"/>
  <c r="G752"/>
  <c r="G566"/>
  <c r="G753"/>
  <c r="G567"/>
  <c r="G196"/>
  <c r="G754"/>
  <c r="G568"/>
  <c r="G755"/>
  <c r="G569"/>
  <c r="G198"/>
  <c r="F1314"/>
  <c r="G384"/>
  <c r="G1128" s="1"/>
  <c r="G756"/>
  <c r="G570"/>
  <c r="G757"/>
  <c r="G571"/>
  <c r="G200"/>
  <c r="F1316"/>
  <c r="G386" s="1"/>
  <c r="G758"/>
  <c r="G572"/>
  <c r="G201"/>
  <c r="G759"/>
  <c r="G573"/>
  <c r="G574"/>
  <c r="G203"/>
  <c r="G761"/>
  <c r="G575"/>
  <c r="G22" i="29"/>
  <c r="G23"/>
  <c r="G24"/>
  <c r="G25"/>
  <c r="G26"/>
  <c r="F144"/>
  <c r="G48"/>
  <c r="G27"/>
  <c r="G28"/>
  <c r="G122" s="1"/>
  <c r="F146"/>
  <c r="G50"/>
  <c r="G29"/>
  <c r="F147"/>
  <c r="G51"/>
  <c r="G123" s="1"/>
  <c r="G30"/>
  <c r="G31"/>
  <c r="G33"/>
  <c r="F151"/>
  <c r="G55"/>
  <c r="G127"/>
  <c r="G34"/>
  <c r="G56"/>
  <c r="G35"/>
  <c r="F153"/>
  <c r="G57"/>
  <c r="G129" s="1"/>
  <c r="G153" s="1"/>
  <c r="H57" s="1"/>
  <c r="G36"/>
  <c r="G58"/>
  <c r="G130"/>
  <c r="G39"/>
  <c r="G40"/>
  <c r="G41"/>
  <c r="H9" i="2"/>
  <c r="H7" i="4" s="1"/>
  <c r="G21" i="3"/>
  <c r="G22"/>
  <c r="G24"/>
  <c r="G25"/>
  <c r="G26"/>
  <c r="G28"/>
  <c r="G30"/>
  <c r="G31"/>
  <c r="G32"/>
  <c r="G33"/>
  <c r="G34"/>
  <c r="G35"/>
  <c r="G36"/>
  <c r="G38"/>
  <c r="G39"/>
  <c r="G40"/>
  <c r="G22" i="9"/>
  <c r="G23"/>
  <c r="G25"/>
  <c r="G26"/>
  <c r="G27"/>
  <c r="G28"/>
  <c r="G29"/>
  <c r="G30"/>
  <c r="G31"/>
  <c r="G32"/>
  <c r="G34"/>
  <c r="G35"/>
  <c r="G36"/>
  <c r="G37"/>
  <c r="G38"/>
  <c r="G39"/>
  <c r="G40"/>
  <c r="G41"/>
  <c r="G42"/>
  <c r="G44"/>
  <c r="G45"/>
  <c r="G46"/>
  <c r="G47"/>
  <c r="G48"/>
  <c r="G49"/>
  <c r="G50"/>
  <c r="G52"/>
  <c r="G53"/>
  <c r="G54"/>
  <c r="G56"/>
  <c r="G57"/>
  <c r="G58"/>
  <c r="G59"/>
  <c r="G60"/>
  <c r="G61"/>
  <c r="G62"/>
  <c r="G64"/>
  <c r="G65"/>
  <c r="G66"/>
  <c r="G67"/>
  <c r="G68"/>
  <c r="G70"/>
  <c r="G71"/>
  <c r="G72"/>
  <c r="G73"/>
  <c r="G74"/>
  <c r="G75"/>
  <c r="G76"/>
  <c r="G78"/>
  <c r="G79"/>
  <c r="G80"/>
  <c r="G81"/>
  <c r="G83"/>
  <c r="G84"/>
  <c r="G85"/>
  <c r="G86"/>
  <c r="G87"/>
  <c r="G88"/>
  <c r="G89"/>
  <c r="G90"/>
  <c r="G92"/>
  <c r="G93"/>
  <c r="G94"/>
  <c r="G95"/>
  <c r="G96"/>
  <c r="G97"/>
  <c r="G98"/>
  <c r="G99"/>
  <c r="G100"/>
  <c r="G102"/>
  <c r="G103"/>
  <c r="G104"/>
  <c r="G106"/>
  <c r="G107"/>
  <c r="G108"/>
  <c r="G111"/>
  <c r="G112"/>
  <c r="G113"/>
  <c r="G114"/>
  <c r="G116"/>
  <c r="G118"/>
  <c r="G120"/>
  <c r="G121"/>
  <c r="G122"/>
  <c r="G123"/>
  <c r="G125"/>
  <c r="G126"/>
  <c r="G127"/>
  <c r="G128"/>
  <c r="G129"/>
  <c r="G130"/>
  <c r="G131"/>
  <c r="G133"/>
  <c r="G134"/>
  <c r="G135"/>
  <c r="G136"/>
  <c r="G137"/>
  <c r="G140"/>
  <c r="G141"/>
  <c r="G142"/>
  <c r="G144"/>
  <c r="G145"/>
  <c r="G146"/>
  <c r="G149"/>
  <c r="G150"/>
  <c r="G152"/>
  <c r="G154"/>
  <c r="G155"/>
  <c r="G156"/>
  <c r="G157"/>
  <c r="G158"/>
  <c r="G160"/>
  <c r="G162"/>
  <c r="G163"/>
  <c r="G164"/>
  <c r="G165"/>
  <c r="G167"/>
  <c r="G168"/>
  <c r="G169"/>
  <c r="G170"/>
  <c r="G171"/>
  <c r="G172"/>
  <c r="G173"/>
  <c r="G174"/>
  <c r="G175"/>
  <c r="G177"/>
  <c r="G178"/>
  <c r="G180"/>
  <c r="G181"/>
  <c r="G182"/>
  <c r="G184"/>
  <c r="G186"/>
  <c r="G187"/>
  <c r="G189"/>
  <c r="G191"/>
  <c r="G192"/>
  <c r="G193"/>
  <c r="G194"/>
  <c r="G196"/>
  <c r="G197"/>
  <c r="G198"/>
  <c r="G200"/>
  <c r="G201"/>
  <c r="G202"/>
  <c r="G204"/>
  <c r="I13" i="2"/>
  <c r="I11" i="4" s="1"/>
  <c r="I5" i="2"/>
  <c r="I6" i="36" s="1"/>
  <c r="I21" s="1"/>
  <c r="I6" i="23"/>
  <c r="I25" s="1"/>
  <c r="I7" i="45"/>
  <c r="I8"/>
  <c r="H738" i="9"/>
  <c r="H739"/>
  <c r="H740"/>
  <c r="H741"/>
  <c r="H742"/>
  <c r="H743"/>
  <c r="H744"/>
  <c r="H745"/>
  <c r="H746"/>
  <c r="H747"/>
  <c r="H748"/>
  <c r="H749"/>
  <c r="H750"/>
  <c r="H751"/>
  <c r="H752"/>
  <c r="H753"/>
  <c r="H754"/>
  <c r="H755"/>
  <c r="H756"/>
  <c r="H757"/>
  <c r="H758"/>
  <c r="H759"/>
  <c r="H760"/>
  <c r="V164" i="26"/>
  <c r="V165"/>
  <c r="V166"/>
  <c r="V167"/>
  <c r="V168"/>
  <c r="V169"/>
  <c r="V170"/>
  <c r="V171"/>
  <c r="V172"/>
  <c r="V173"/>
  <c r="V174"/>
  <c r="V175"/>
  <c r="V176"/>
  <c r="V177"/>
  <c r="V178"/>
  <c r="V179"/>
  <c r="V180"/>
  <c r="V181"/>
  <c r="V182"/>
  <c r="V183"/>
  <c r="V184"/>
  <c r="V185"/>
  <c r="V5"/>
  <c r="V6"/>
  <c r="V7"/>
  <c r="V8"/>
  <c r="V9"/>
  <c r="V10"/>
  <c r="V11"/>
  <c r="V12"/>
  <c r="V13"/>
  <c r="V14"/>
  <c r="V15"/>
  <c r="V16"/>
  <c r="V17"/>
  <c r="V18"/>
  <c r="V19"/>
  <c r="V20"/>
  <c r="V21"/>
  <c r="V22"/>
  <c r="V23"/>
  <c r="V24"/>
  <c r="V25"/>
  <c r="V26"/>
  <c r="V27"/>
  <c r="V28"/>
  <c r="V29"/>
  <c r="V30"/>
  <c r="V31"/>
  <c r="V32"/>
  <c r="V33"/>
  <c r="V34"/>
  <c r="V35"/>
  <c r="V36"/>
  <c r="V37"/>
  <c r="V38"/>
  <c r="V39"/>
  <c r="V40"/>
  <c r="V41"/>
  <c r="V42"/>
  <c r="V43"/>
  <c r="V44"/>
  <c r="V45"/>
  <c r="V46"/>
  <c r="V47"/>
  <c r="V48"/>
  <c r="V49"/>
  <c r="V50"/>
  <c r="V51"/>
  <c r="V52"/>
  <c r="V53"/>
  <c r="V54"/>
  <c r="V55"/>
  <c r="V56"/>
  <c r="V57"/>
  <c r="V58"/>
  <c r="V59"/>
  <c r="V60"/>
  <c r="V61"/>
  <c r="V62"/>
  <c r="V63"/>
  <c r="V64"/>
  <c r="V65"/>
  <c r="V66"/>
  <c r="V67"/>
  <c r="V68"/>
  <c r="V69"/>
  <c r="V70"/>
  <c r="V71"/>
  <c r="V72"/>
  <c r="V73"/>
  <c r="V74"/>
  <c r="V75"/>
  <c r="V76"/>
  <c r="V77"/>
  <c r="V78"/>
  <c r="V79"/>
  <c r="V80"/>
  <c r="V81"/>
  <c r="V82"/>
  <c r="V83"/>
  <c r="V84"/>
  <c r="V85"/>
  <c r="V86"/>
  <c r="V87"/>
  <c r="V88"/>
  <c r="V89"/>
  <c r="V90"/>
  <c r="V91"/>
  <c r="V92"/>
  <c r="V93"/>
  <c r="V94"/>
  <c r="V95"/>
  <c r="V96"/>
  <c r="V97"/>
  <c r="V98"/>
  <c r="V99"/>
  <c r="V100"/>
  <c r="V101"/>
  <c r="V102"/>
  <c r="V103"/>
  <c r="V104"/>
  <c r="V105"/>
  <c r="V106"/>
  <c r="V107"/>
  <c r="V108"/>
  <c r="V109"/>
  <c r="V110"/>
  <c r="V111"/>
  <c r="V112"/>
  <c r="V113"/>
  <c r="V114"/>
  <c r="V115"/>
  <c r="V116"/>
  <c r="V117"/>
  <c r="V118"/>
  <c r="V119"/>
  <c r="V120"/>
  <c r="V121"/>
  <c r="V122"/>
  <c r="V123"/>
  <c r="V124"/>
  <c r="V125"/>
  <c r="V126"/>
  <c r="V127"/>
  <c r="V128"/>
  <c r="V129"/>
  <c r="V130"/>
  <c r="V131"/>
  <c r="V132"/>
  <c r="V133"/>
  <c r="V134"/>
  <c r="V135"/>
  <c r="V136"/>
  <c r="V137"/>
  <c r="V138"/>
  <c r="V139"/>
  <c r="V140"/>
  <c r="V141"/>
  <c r="V142"/>
  <c r="V143"/>
  <c r="V144"/>
  <c r="V145"/>
  <c r="V146"/>
  <c r="V147"/>
  <c r="V148"/>
  <c r="V149"/>
  <c r="V150"/>
  <c r="V151"/>
  <c r="V152"/>
  <c r="V153"/>
  <c r="V154"/>
  <c r="V155"/>
  <c r="V156"/>
  <c r="V157"/>
  <c r="V158"/>
  <c r="V159"/>
  <c r="V160"/>
  <c r="V161"/>
  <c r="V162"/>
  <c r="V163"/>
  <c r="V4" i="30"/>
  <c r="V5"/>
  <c r="V6"/>
  <c r="V7"/>
  <c r="V8"/>
  <c r="V9"/>
  <c r="V10"/>
  <c r="V11"/>
  <c r="V12"/>
  <c r="V13"/>
  <c r="V14"/>
  <c r="V15"/>
  <c r="V16"/>
  <c r="V17"/>
  <c r="V18"/>
  <c r="V19"/>
  <c r="V20"/>
  <c r="V21"/>
  <c r="V22"/>
  <c r="V23"/>
  <c r="V24"/>
  <c r="V25"/>
  <c r="V26"/>
  <c r="V27"/>
  <c r="V28"/>
  <c r="V29"/>
  <c r="V30"/>
  <c r="V31"/>
  <c r="V32"/>
  <c r="V33"/>
  <c r="V34"/>
  <c r="V35"/>
  <c r="V36"/>
  <c r="V37"/>
  <c r="V38"/>
  <c r="V39"/>
  <c r="V40"/>
  <c r="V41"/>
  <c r="V42"/>
  <c r="V43"/>
  <c r="V44"/>
  <c r="V45"/>
  <c r="V46"/>
  <c r="V47"/>
  <c r="V48"/>
  <c r="V49"/>
  <c r="V50"/>
  <c r="V51"/>
  <c r="V52"/>
  <c r="V53"/>
  <c r="V54"/>
  <c r="V55"/>
  <c r="V56"/>
  <c r="V57"/>
  <c r="V58"/>
  <c r="V59"/>
  <c r="V60"/>
  <c r="V61"/>
  <c r="V62"/>
  <c r="V63"/>
  <c r="V64"/>
  <c r="V65"/>
  <c r="V66"/>
  <c r="V67"/>
  <c r="V68"/>
  <c r="V69"/>
  <c r="V70"/>
  <c r="V71"/>
  <c r="V72"/>
  <c r="V73"/>
  <c r="V74"/>
  <c r="V75"/>
  <c r="V76"/>
  <c r="V77"/>
  <c r="V78"/>
  <c r="V79"/>
  <c r="V80"/>
  <c r="V81"/>
  <c r="V82"/>
  <c r="V83"/>
  <c r="V84"/>
  <c r="V85"/>
  <c r="V86"/>
  <c r="V87"/>
  <c r="V88"/>
  <c r="V89"/>
  <c r="V90"/>
  <c r="V91"/>
  <c r="V92"/>
  <c r="V93"/>
  <c r="V94"/>
  <c r="V95"/>
  <c r="V96"/>
  <c r="V97"/>
  <c r="V98"/>
  <c r="V99"/>
  <c r="V100"/>
  <c r="V101"/>
  <c r="V102"/>
  <c r="V103"/>
  <c r="V104"/>
  <c r="V105"/>
  <c r="V106"/>
  <c r="V107"/>
  <c r="V108"/>
  <c r="V109"/>
  <c r="V110"/>
  <c r="V111"/>
  <c r="V112"/>
  <c r="V113"/>
  <c r="V114"/>
  <c r="V115"/>
  <c r="V116"/>
  <c r="V117"/>
  <c r="V118"/>
  <c r="V119"/>
  <c r="V120"/>
  <c r="V121"/>
  <c r="V122"/>
  <c r="V123"/>
  <c r="V124"/>
  <c r="V125"/>
  <c r="V126"/>
  <c r="V127"/>
  <c r="V128"/>
  <c r="V129"/>
  <c r="V130"/>
  <c r="V131"/>
  <c r="V132"/>
  <c r="V133"/>
  <c r="V134"/>
  <c r="V135"/>
  <c r="V136"/>
  <c r="V137"/>
  <c r="V138"/>
  <c r="V139"/>
  <c r="V140"/>
  <c r="V141"/>
  <c r="V142"/>
  <c r="V143"/>
  <c r="V144"/>
  <c r="V145"/>
  <c r="V146"/>
  <c r="V147"/>
  <c r="V148"/>
  <c r="H579" i="9"/>
  <c r="H580"/>
  <c r="H581"/>
  <c r="H582"/>
  <c r="H583"/>
  <c r="H584"/>
  <c r="H585"/>
  <c r="H586"/>
  <c r="H587"/>
  <c r="H588"/>
  <c r="H589"/>
  <c r="H590"/>
  <c r="H591"/>
  <c r="H592"/>
  <c r="H593"/>
  <c r="H594"/>
  <c r="H595"/>
  <c r="H596"/>
  <c r="H597"/>
  <c r="H598"/>
  <c r="H599"/>
  <c r="H600"/>
  <c r="H601"/>
  <c r="H602"/>
  <c r="H603"/>
  <c r="H604"/>
  <c r="H605"/>
  <c r="H606"/>
  <c r="H607"/>
  <c r="H608"/>
  <c r="H609"/>
  <c r="H610"/>
  <c r="H611"/>
  <c r="H612"/>
  <c r="H613"/>
  <c r="H614"/>
  <c r="H615"/>
  <c r="H616"/>
  <c r="H617"/>
  <c r="H618"/>
  <c r="H619"/>
  <c r="H620"/>
  <c r="H621"/>
  <c r="H622"/>
  <c r="H623"/>
  <c r="H624"/>
  <c r="H625"/>
  <c r="H626"/>
  <c r="H627"/>
  <c r="H628"/>
  <c r="H629"/>
  <c r="H630"/>
  <c r="H631"/>
  <c r="H632"/>
  <c r="H633"/>
  <c r="H634"/>
  <c r="H635"/>
  <c r="H636"/>
  <c r="H637"/>
  <c r="H638"/>
  <c r="H639"/>
  <c r="H640"/>
  <c r="H641"/>
  <c r="H642"/>
  <c r="H643"/>
  <c r="H644"/>
  <c r="H645"/>
  <c r="H646"/>
  <c r="H647"/>
  <c r="H648"/>
  <c r="H649"/>
  <c r="H650"/>
  <c r="H651"/>
  <c r="H652"/>
  <c r="H653"/>
  <c r="H654"/>
  <c r="H655"/>
  <c r="H656"/>
  <c r="H657"/>
  <c r="H658"/>
  <c r="H659"/>
  <c r="H660"/>
  <c r="H661"/>
  <c r="H662"/>
  <c r="H663"/>
  <c r="H664"/>
  <c r="H665"/>
  <c r="H666"/>
  <c r="H667"/>
  <c r="H668"/>
  <c r="H669"/>
  <c r="H670"/>
  <c r="H671"/>
  <c r="H672"/>
  <c r="H673"/>
  <c r="H674"/>
  <c r="H675"/>
  <c r="H676"/>
  <c r="H677"/>
  <c r="H678"/>
  <c r="H679"/>
  <c r="H680"/>
  <c r="H681"/>
  <c r="H682"/>
  <c r="H683"/>
  <c r="H684"/>
  <c r="H685"/>
  <c r="H686"/>
  <c r="H687"/>
  <c r="H688"/>
  <c r="H689"/>
  <c r="H690"/>
  <c r="H691"/>
  <c r="H692"/>
  <c r="H693"/>
  <c r="H694"/>
  <c r="H695"/>
  <c r="H696"/>
  <c r="H697"/>
  <c r="H698"/>
  <c r="H699"/>
  <c r="H700"/>
  <c r="H701"/>
  <c r="H702"/>
  <c r="H703"/>
  <c r="H704"/>
  <c r="H705"/>
  <c r="H706"/>
  <c r="H707"/>
  <c r="H708"/>
  <c r="H709"/>
  <c r="H710"/>
  <c r="H711"/>
  <c r="H712"/>
  <c r="H713"/>
  <c r="H714"/>
  <c r="H715"/>
  <c r="H716"/>
  <c r="H717"/>
  <c r="H718"/>
  <c r="H719"/>
  <c r="H720"/>
  <c r="H721"/>
  <c r="H722"/>
  <c r="H723"/>
  <c r="H724"/>
  <c r="H725"/>
  <c r="H726"/>
  <c r="H727"/>
  <c r="H728"/>
  <c r="H729"/>
  <c r="H730"/>
  <c r="H731"/>
  <c r="H732"/>
  <c r="H733"/>
  <c r="H734"/>
  <c r="H735"/>
  <c r="H736"/>
  <c r="H737"/>
  <c r="I20" i="2"/>
  <c r="I60"/>
  <c r="I25" i="4"/>
  <c r="I36"/>
  <c r="H21" i="27"/>
  <c r="H579"/>
  <c r="H393"/>
  <c r="H22"/>
  <c r="H952" s="1"/>
  <c r="G1138"/>
  <c r="H208" s="1"/>
  <c r="H580"/>
  <c r="H394"/>
  <c r="H23"/>
  <c r="H581"/>
  <c r="H395"/>
  <c r="H582"/>
  <c r="H396"/>
  <c r="H25"/>
  <c r="H583"/>
  <c r="H397"/>
  <c r="H584"/>
  <c r="H398"/>
  <c r="H27"/>
  <c r="G1143"/>
  <c r="H213"/>
  <c r="H585"/>
  <c r="H957" s="1"/>
  <c r="H399"/>
  <c r="H28"/>
  <c r="H586"/>
  <c r="H400"/>
  <c r="H29"/>
  <c r="H587"/>
  <c r="H401"/>
  <c r="H30"/>
  <c r="H588"/>
  <c r="H402"/>
  <c r="G15" i="26"/>
  <c r="H31" i="27"/>
  <c r="G1147"/>
  <c r="H217"/>
  <c r="H589"/>
  <c r="H403"/>
  <c r="H961"/>
  <c r="H590"/>
  <c r="H404"/>
  <c r="H33"/>
  <c r="H591"/>
  <c r="H405"/>
  <c r="H34"/>
  <c r="H592"/>
  <c r="H406"/>
  <c r="H35"/>
  <c r="H593"/>
  <c r="H407"/>
  <c r="G20" i="26"/>
  <c r="H36" i="27"/>
  <c r="H594"/>
  <c r="H408"/>
  <c r="H37"/>
  <c r="H595"/>
  <c r="H409"/>
  <c r="H38"/>
  <c r="H596"/>
  <c r="H410"/>
  <c r="H39"/>
  <c r="H597"/>
  <c r="H411"/>
  <c r="H40"/>
  <c r="H598"/>
  <c r="H412"/>
  <c r="H41"/>
  <c r="H599"/>
  <c r="H413"/>
  <c r="G26" i="26"/>
  <c r="H42" i="27"/>
  <c r="H972" s="1"/>
  <c r="G1158"/>
  <c r="H228" s="1"/>
  <c r="H600"/>
  <c r="H414"/>
  <c r="H43"/>
  <c r="H601"/>
  <c r="H415"/>
  <c r="H44"/>
  <c r="H602"/>
  <c r="H416"/>
  <c r="H45"/>
  <c r="H603"/>
  <c r="H417"/>
  <c r="G30" i="26"/>
  <c r="H604" i="27"/>
  <c r="H418"/>
  <c r="H47"/>
  <c r="H605"/>
  <c r="H419"/>
  <c r="H48"/>
  <c r="H606"/>
  <c r="H420"/>
  <c r="G33" i="26"/>
  <c r="H49" i="27"/>
  <c r="H607"/>
  <c r="H421"/>
  <c r="H50"/>
  <c r="H608"/>
  <c r="H422"/>
  <c r="H51"/>
  <c r="H609"/>
  <c r="H423"/>
  <c r="H52"/>
  <c r="H610"/>
  <c r="H424"/>
  <c r="G37" i="26"/>
  <c r="H53" i="27"/>
  <c r="H983" s="1"/>
  <c r="G1169"/>
  <c r="H239" s="1"/>
  <c r="H611"/>
  <c r="H425"/>
  <c r="H54"/>
  <c r="H612"/>
  <c r="H426"/>
  <c r="H55"/>
  <c r="H613"/>
  <c r="H427"/>
  <c r="H56"/>
  <c r="H614"/>
  <c r="H428"/>
  <c r="H57"/>
  <c r="H615"/>
  <c r="H429"/>
  <c r="H58"/>
  <c r="G1174"/>
  <c r="H244"/>
  <c r="H616"/>
  <c r="H988" s="1"/>
  <c r="H430"/>
  <c r="G43" i="26"/>
  <c r="H59" i="27" s="1"/>
  <c r="G1175"/>
  <c r="H245"/>
  <c r="H617"/>
  <c r="H431"/>
  <c r="H60"/>
  <c r="H618"/>
  <c r="H432"/>
  <c r="H61"/>
  <c r="H619"/>
  <c r="H433"/>
  <c r="G46" i="26"/>
  <c r="H62" i="27"/>
  <c r="H620"/>
  <c r="H434"/>
  <c r="H63"/>
  <c r="H621"/>
  <c r="H435"/>
  <c r="H64"/>
  <c r="H622"/>
  <c r="H436"/>
  <c r="H65"/>
  <c r="H623"/>
  <c r="H437"/>
  <c r="H66"/>
  <c r="H624"/>
  <c r="H438"/>
  <c r="H67"/>
  <c r="H625"/>
  <c r="H439"/>
  <c r="H626"/>
  <c r="H440"/>
  <c r="H69"/>
  <c r="H627"/>
  <c r="H441"/>
  <c r="H70"/>
  <c r="H628"/>
  <c r="H442"/>
  <c r="H71"/>
  <c r="H629"/>
  <c r="H443"/>
  <c r="H72"/>
  <c r="H630"/>
  <c r="H444"/>
  <c r="H73"/>
  <c r="H631"/>
  <c r="H445"/>
  <c r="G58" i="26"/>
  <c r="H74" i="27"/>
  <c r="H632"/>
  <c r="H446"/>
  <c r="H75"/>
  <c r="H633"/>
  <c r="H447"/>
  <c r="H76"/>
  <c r="H634"/>
  <c r="H448"/>
  <c r="H77"/>
  <c r="H635"/>
  <c r="H449"/>
  <c r="H78"/>
  <c r="H636"/>
  <c r="H450"/>
  <c r="H79"/>
  <c r="H637"/>
  <c r="H451"/>
  <c r="H80"/>
  <c r="H638"/>
  <c r="H452"/>
  <c r="H639"/>
  <c r="H453"/>
  <c r="H82"/>
  <c r="H640"/>
  <c r="H454"/>
  <c r="H83"/>
  <c r="H641"/>
  <c r="H455"/>
  <c r="G68" i="26"/>
  <c r="H84" i="27"/>
  <c r="H642"/>
  <c r="H456"/>
  <c r="H85"/>
  <c r="H643"/>
  <c r="H457"/>
  <c r="H86"/>
  <c r="H644"/>
  <c r="H458"/>
  <c r="H87"/>
  <c r="H645"/>
  <c r="H459"/>
  <c r="H88"/>
  <c r="H646"/>
  <c r="H460"/>
  <c r="G73" i="26"/>
  <c r="H647" i="27"/>
  <c r="H461"/>
  <c r="H90"/>
  <c r="H648"/>
  <c r="H462"/>
  <c r="H91"/>
  <c r="H649"/>
  <c r="H463"/>
  <c r="H92"/>
  <c r="H650"/>
  <c r="H464"/>
  <c r="H93"/>
  <c r="H651"/>
  <c r="H465"/>
  <c r="H94"/>
  <c r="H652"/>
  <c r="H466"/>
  <c r="G79" i="26"/>
  <c r="H95" i="27" s="1"/>
  <c r="H653"/>
  <c r="H467"/>
  <c r="H654"/>
  <c r="H468"/>
  <c r="H97"/>
  <c r="H655"/>
  <c r="H469"/>
  <c r="H98"/>
  <c r="H656"/>
  <c r="H470"/>
  <c r="G83" i="26"/>
  <c r="H99" i="27"/>
  <c r="H657"/>
  <c r="H471"/>
  <c r="H658"/>
  <c r="H472"/>
  <c r="G85" i="26"/>
  <c r="H101" i="27" s="1"/>
  <c r="H659"/>
  <c r="H473"/>
  <c r="H102"/>
  <c r="H660"/>
  <c r="H474"/>
  <c r="G87" i="26"/>
  <c r="H103" i="27" s="1"/>
  <c r="H661"/>
  <c r="H475"/>
  <c r="H662"/>
  <c r="H476"/>
  <c r="H105"/>
  <c r="H663"/>
  <c r="H477"/>
  <c r="G90" i="26"/>
  <c r="H106" i="27" s="1"/>
  <c r="H1036" s="1"/>
  <c r="G1222"/>
  <c r="H292" s="1"/>
  <c r="H664"/>
  <c r="H478"/>
  <c r="G91" i="26"/>
  <c r="H107" i="27"/>
  <c r="H665"/>
  <c r="H479"/>
  <c r="G92" i="26"/>
  <c r="H108" i="27"/>
  <c r="H666"/>
  <c r="H480"/>
  <c r="H667"/>
  <c r="H481"/>
  <c r="G94" i="26"/>
  <c r="H110" i="27"/>
  <c r="H668"/>
  <c r="H482"/>
  <c r="H111"/>
  <c r="H669"/>
  <c r="H483"/>
  <c r="H112"/>
  <c r="H670"/>
  <c r="H484"/>
  <c r="H113"/>
  <c r="H671"/>
  <c r="H485"/>
  <c r="H672"/>
  <c r="H486"/>
  <c r="G99" i="26"/>
  <c r="H673" i="27"/>
  <c r="H487"/>
  <c r="H116"/>
  <c r="H674"/>
  <c r="H488"/>
  <c r="H117"/>
  <c r="G1233"/>
  <c r="H303" s="1"/>
  <c r="H1047" s="1"/>
  <c r="H675"/>
  <c r="H489"/>
  <c r="G102" i="26"/>
  <c r="H676" i="27"/>
  <c r="H490"/>
  <c r="H677"/>
  <c r="H491"/>
  <c r="H120"/>
  <c r="H678"/>
  <c r="H492"/>
  <c r="H121"/>
  <c r="H679"/>
  <c r="H493"/>
  <c r="H122"/>
  <c r="H680"/>
  <c r="H494"/>
  <c r="G107" i="26"/>
  <c r="H681" i="27"/>
  <c r="H495"/>
  <c r="G108" i="26"/>
  <c r="H124" i="27"/>
  <c r="H682"/>
  <c r="H496"/>
  <c r="H125"/>
  <c r="H683"/>
  <c r="H497"/>
  <c r="H126"/>
  <c r="H684"/>
  <c r="H498"/>
  <c r="G111" i="26"/>
  <c r="H127" i="27"/>
  <c r="H685"/>
  <c r="H499"/>
  <c r="H128"/>
  <c r="H686"/>
  <c r="H500"/>
  <c r="H129"/>
  <c r="H687"/>
  <c r="H501"/>
  <c r="H688"/>
  <c r="H502"/>
  <c r="H131"/>
  <c r="H689"/>
  <c r="H503"/>
  <c r="H132"/>
  <c r="H690"/>
  <c r="H504"/>
  <c r="H133"/>
  <c r="G1249"/>
  <c r="H319" s="1"/>
  <c r="H1063" s="1"/>
  <c r="H691"/>
  <c r="H505"/>
  <c r="H134"/>
  <c r="H692"/>
  <c r="H506"/>
  <c r="G119" i="26"/>
  <c r="H135" i="27"/>
  <c r="H693"/>
  <c r="H507"/>
  <c r="H136"/>
  <c r="H694"/>
  <c r="H508"/>
  <c r="H695"/>
  <c r="H509"/>
  <c r="H138"/>
  <c r="H696"/>
  <c r="H510"/>
  <c r="H139"/>
  <c r="H697"/>
  <c r="H511"/>
  <c r="H140"/>
  <c r="H698"/>
  <c r="H512"/>
  <c r="H141"/>
  <c r="H699"/>
  <c r="H513"/>
  <c r="H142"/>
  <c r="H700"/>
  <c r="H514"/>
  <c r="H143"/>
  <c r="H701"/>
  <c r="H515"/>
  <c r="H702"/>
  <c r="H516"/>
  <c r="H145"/>
  <c r="H703"/>
  <c r="H517"/>
  <c r="H704"/>
  <c r="H518"/>
  <c r="H705"/>
  <c r="H519"/>
  <c r="H148"/>
  <c r="H706"/>
  <c r="H520"/>
  <c r="H149"/>
  <c r="H707"/>
  <c r="H521"/>
  <c r="H150"/>
  <c r="H1080" s="1"/>
  <c r="G1266"/>
  <c r="H336"/>
  <c r="H708"/>
  <c r="H522"/>
  <c r="H151"/>
  <c r="G1267"/>
  <c r="H337"/>
  <c r="H1081" s="1"/>
  <c r="H709"/>
  <c r="H523"/>
  <c r="H152"/>
  <c r="H710"/>
  <c r="H524"/>
  <c r="H153"/>
  <c r="H711"/>
  <c r="H525"/>
  <c r="H154"/>
  <c r="H712"/>
  <c r="H526"/>
  <c r="H155"/>
  <c r="H713"/>
  <c r="H527"/>
  <c r="G140" i="26"/>
  <c r="H156" i="27"/>
  <c r="H714"/>
  <c r="H528"/>
  <c r="H715"/>
  <c r="H529"/>
  <c r="H716"/>
  <c r="H530"/>
  <c r="H159"/>
  <c r="H717"/>
  <c r="H531"/>
  <c r="H160"/>
  <c r="H718"/>
  <c r="H532"/>
  <c r="H161"/>
  <c r="H719"/>
  <c r="H533"/>
  <c r="H162"/>
  <c r="H720"/>
  <c r="H534"/>
  <c r="H163"/>
  <c r="H721"/>
  <c r="H535"/>
  <c r="H164"/>
  <c r="H722"/>
  <c r="H536"/>
  <c r="H165"/>
  <c r="H723"/>
  <c r="H537"/>
  <c r="H166"/>
  <c r="H724"/>
  <c r="H538"/>
  <c r="H167"/>
  <c r="H725"/>
  <c r="H539"/>
  <c r="H168"/>
  <c r="H726"/>
  <c r="H540"/>
  <c r="H169"/>
  <c r="H727"/>
  <c r="H541"/>
  <c r="H170"/>
  <c r="H728"/>
  <c r="H542"/>
  <c r="H171"/>
  <c r="H729"/>
  <c r="H543"/>
  <c r="H172"/>
  <c r="H730"/>
  <c r="H544"/>
  <c r="H731"/>
  <c r="H545"/>
  <c r="H174"/>
  <c r="H732"/>
  <c r="H546"/>
  <c r="H733"/>
  <c r="H547"/>
  <c r="H176"/>
  <c r="H734"/>
  <c r="H548"/>
  <c r="H177"/>
  <c r="H735"/>
  <c r="H549"/>
  <c r="H178"/>
  <c r="H736"/>
  <c r="H550"/>
  <c r="H737"/>
  <c r="H551"/>
  <c r="H180"/>
  <c r="H738"/>
  <c r="H552"/>
  <c r="H181"/>
  <c r="H739"/>
  <c r="H553"/>
  <c r="H182"/>
  <c r="H740"/>
  <c r="H554"/>
  <c r="H741"/>
  <c r="H555"/>
  <c r="H184"/>
  <c r="H742"/>
  <c r="H556"/>
  <c r="H185"/>
  <c r="H743"/>
  <c r="H557"/>
  <c r="H186"/>
  <c r="H744"/>
  <c r="H558"/>
  <c r="H745"/>
  <c r="H559"/>
  <c r="H188"/>
  <c r="H746"/>
  <c r="H560"/>
  <c r="H189"/>
  <c r="H747"/>
  <c r="H561"/>
  <c r="H190"/>
  <c r="H748"/>
  <c r="H562"/>
  <c r="H191"/>
  <c r="H749"/>
  <c r="H563"/>
  <c r="H192"/>
  <c r="H750"/>
  <c r="H564"/>
  <c r="H193"/>
  <c r="H751"/>
  <c r="H565"/>
  <c r="H752"/>
  <c r="H566"/>
  <c r="H753"/>
  <c r="H567"/>
  <c r="H196"/>
  <c r="H754"/>
  <c r="H568"/>
  <c r="H755"/>
  <c r="H569"/>
  <c r="H198"/>
  <c r="G1314"/>
  <c r="H384" s="1"/>
  <c r="H1128" s="1"/>
  <c r="H756"/>
  <c r="H570"/>
  <c r="H757"/>
  <c r="H571"/>
  <c r="H200"/>
  <c r="H758"/>
  <c r="H572"/>
  <c r="H201"/>
  <c r="H759"/>
  <c r="H573"/>
  <c r="H760"/>
  <c r="H574"/>
  <c r="H575"/>
  <c r="H22" i="29"/>
  <c r="H23"/>
  <c r="H24"/>
  <c r="H25"/>
  <c r="H27"/>
  <c r="H28"/>
  <c r="G146"/>
  <c r="H50" s="1"/>
  <c r="H122"/>
  <c r="H29"/>
  <c r="H123" s="1"/>
  <c r="G147"/>
  <c r="H51"/>
  <c r="H30"/>
  <c r="H31"/>
  <c r="H33"/>
  <c r="H127" s="1"/>
  <c r="G151"/>
  <c r="H55"/>
  <c r="H34"/>
  <c r="H35"/>
  <c r="H129" s="1"/>
  <c r="H36"/>
  <c r="G154"/>
  <c r="H58" s="1"/>
  <c r="H130"/>
  <c r="H39"/>
  <c r="H40"/>
  <c r="H41"/>
  <c r="I9" i="2"/>
  <c r="I7" i="4" s="1"/>
  <c r="I8" i="2"/>
  <c r="H6" i="29" s="1"/>
  <c r="H21" i="3"/>
  <c r="H22"/>
  <c r="H24"/>
  <c r="H25"/>
  <c r="H26"/>
  <c r="H28"/>
  <c r="H30"/>
  <c r="H31"/>
  <c r="H32"/>
  <c r="H33"/>
  <c r="H34"/>
  <c r="H35"/>
  <c r="H36"/>
  <c r="H38"/>
  <c r="H39"/>
  <c r="H40"/>
  <c r="H22" i="9"/>
  <c r="H23"/>
  <c r="H25"/>
  <c r="H26"/>
  <c r="H27"/>
  <c r="H28"/>
  <c r="H29"/>
  <c r="H30"/>
  <c r="H31"/>
  <c r="H32"/>
  <c r="H35"/>
  <c r="H36"/>
  <c r="H37"/>
  <c r="H38"/>
  <c r="H39"/>
  <c r="H40"/>
  <c r="H41"/>
  <c r="H42"/>
  <c r="H43"/>
  <c r="H44"/>
  <c r="H45"/>
  <c r="H46"/>
  <c r="H48"/>
  <c r="H49"/>
  <c r="H50"/>
  <c r="H52"/>
  <c r="H53"/>
  <c r="H54"/>
  <c r="H56"/>
  <c r="H57"/>
  <c r="H58"/>
  <c r="H59"/>
  <c r="H60"/>
  <c r="H61"/>
  <c r="H62"/>
  <c r="H63"/>
  <c r="H64"/>
  <c r="H65"/>
  <c r="H66"/>
  <c r="H67"/>
  <c r="H68"/>
  <c r="H69"/>
  <c r="H70"/>
  <c r="H71"/>
  <c r="H72"/>
  <c r="H73"/>
  <c r="H74"/>
  <c r="H75"/>
  <c r="H76"/>
  <c r="H79"/>
  <c r="H80"/>
  <c r="H81"/>
  <c r="H83"/>
  <c r="H84"/>
  <c r="H85"/>
  <c r="H87"/>
  <c r="H88"/>
  <c r="H89"/>
  <c r="H92"/>
  <c r="H93"/>
  <c r="H94"/>
  <c r="H95"/>
  <c r="H96"/>
  <c r="H97"/>
  <c r="H98"/>
  <c r="H99"/>
  <c r="H100"/>
  <c r="H102"/>
  <c r="H103"/>
  <c r="H104"/>
  <c r="H106"/>
  <c r="H107"/>
  <c r="H108"/>
  <c r="H109"/>
  <c r="H111"/>
  <c r="H112"/>
  <c r="H113"/>
  <c r="H114"/>
  <c r="H118"/>
  <c r="H120"/>
  <c r="H121"/>
  <c r="H122"/>
  <c r="H123"/>
  <c r="H125"/>
  <c r="H126"/>
  <c r="H127"/>
  <c r="H128"/>
  <c r="H129"/>
  <c r="H130"/>
  <c r="H131"/>
  <c r="H133"/>
  <c r="H134"/>
  <c r="H135"/>
  <c r="H136"/>
  <c r="H137"/>
  <c r="H140"/>
  <c r="H141"/>
  <c r="H142"/>
  <c r="H144"/>
  <c r="H145"/>
  <c r="H149"/>
  <c r="H150"/>
  <c r="H155"/>
  <c r="H156"/>
  <c r="H157"/>
  <c r="H158"/>
  <c r="H160"/>
  <c r="H162"/>
  <c r="H163"/>
  <c r="H164"/>
  <c r="H165"/>
  <c r="H167"/>
  <c r="H168"/>
  <c r="H169"/>
  <c r="H170"/>
  <c r="H171"/>
  <c r="H172"/>
  <c r="H173"/>
  <c r="H174"/>
  <c r="H175"/>
  <c r="H177"/>
  <c r="H178"/>
  <c r="H180"/>
  <c r="H181"/>
  <c r="H182"/>
  <c r="H184"/>
  <c r="H186"/>
  <c r="H187"/>
  <c r="H189"/>
  <c r="H191"/>
  <c r="H192"/>
  <c r="H193"/>
  <c r="H194"/>
  <c r="H196"/>
  <c r="H197"/>
  <c r="H200"/>
  <c r="H201"/>
  <c r="H202"/>
  <c r="F22" i="36"/>
  <c r="E22"/>
  <c r="D26"/>
  <c r="E26"/>
  <c r="F26" s="1"/>
  <c r="C6" i="13"/>
  <c r="D38" i="31"/>
  <c r="D6" i="13"/>
  <c r="D22" i="31" s="1"/>
  <c r="D39"/>
  <c r="D23"/>
  <c r="D40"/>
  <c r="D24"/>
  <c r="D41"/>
  <c r="D25"/>
  <c r="D42"/>
  <c r="D26"/>
  <c r="D43"/>
  <c r="D27"/>
  <c r="D44"/>
  <c r="D28"/>
  <c r="D45"/>
  <c r="D29"/>
  <c r="D46"/>
  <c r="D30"/>
  <c r="D47"/>
  <c r="D31"/>
  <c r="D48"/>
  <c r="D32"/>
  <c r="D49"/>
  <c r="D33"/>
  <c r="D50"/>
  <c r="D34"/>
  <c r="D51"/>
  <c r="D35"/>
  <c r="D523" i="32"/>
  <c r="G4" i="30"/>
  <c r="D524" i="32"/>
  <c r="D24"/>
  <c r="D525"/>
  <c r="D25"/>
  <c r="D526"/>
  <c r="G7" i="30"/>
  <c r="D26" i="32" s="1"/>
  <c r="D527"/>
  <c r="D27"/>
  <c r="D528"/>
  <c r="G9" i="30"/>
  <c r="D529" i="32"/>
  <c r="D29"/>
  <c r="D530"/>
  <c r="D30"/>
  <c r="D531"/>
  <c r="G12" i="30"/>
  <c r="D31" i="32" s="1"/>
  <c r="D532"/>
  <c r="D32"/>
  <c r="D533"/>
  <c r="D33"/>
  <c r="D534"/>
  <c r="D34"/>
  <c r="D535"/>
  <c r="D35"/>
  <c r="D536"/>
  <c r="D36"/>
  <c r="D537"/>
  <c r="D37"/>
  <c r="D538"/>
  <c r="D38"/>
  <c r="D539"/>
  <c r="D39"/>
  <c r="D540"/>
  <c r="D40"/>
  <c r="D541"/>
  <c r="D41"/>
  <c r="D542"/>
  <c r="D42"/>
  <c r="D543"/>
  <c r="D43"/>
  <c r="D544"/>
  <c r="D44"/>
  <c r="D545"/>
  <c r="D45"/>
  <c r="D546"/>
  <c r="D46"/>
  <c r="D547"/>
  <c r="D47"/>
  <c r="D548"/>
  <c r="D48"/>
  <c r="D549"/>
  <c r="D49"/>
  <c r="D550"/>
  <c r="D50"/>
  <c r="D551"/>
  <c r="D51"/>
  <c r="D552"/>
  <c r="D52"/>
  <c r="D553"/>
  <c r="D53"/>
  <c r="D554"/>
  <c r="D54"/>
  <c r="D555"/>
  <c r="D55"/>
  <c r="D556"/>
  <c r="D56"/>
  <c r="D557"/>
  <c r="D57"/>
  <c r="D558"/>
  <c r="D58"/>
  <c r="D559"/>
  <c r="D59"/>
  <c r="D560"/>
  <c r="D60"/>
  <c r="D561"/>
  <c r="D61"/>
  <c r="D562"/>
  <c r="D62"/>
  <c r="D563"/>
  <c r="D63"/>
  <c r="D564"/>
  <c r="D64"/>
  <c r="D565"/>
  <c r="D65"/>
  <c r="D566"/>
  <c r="D66"/>
  <c r="D567"/>
  <c r="G48" i="30"/>
  <c r="D67" i="32"/>
  <c r="D568"/>
  <c r="D68"/>
  <c r="D569"/>
  <c r="G50" i="30"/>
  <c r="D69" i="32" s="1"/>
  <c r="D570"/>
  <c r="D70"/>
  <c r="D571"/>
  <c r="D71"/>
  <c r="D572"/>
  <c r="G53" i="30"/>
  <c r="D72" i="32"/>
  <c r="D573"/>
  <c r="D73"/>
  <c r="D574"/>
  <c r="D74"/>
  <c r="D575"/>
  <c r="D75"/>
  <c r="D576"/>
  <c r="D76"/>
  <c r="D577"/>
  <c r="G58" i="30"/>
  <c r="D77" i="32" s="1"/>
  <c r="D578"/>
  <c r="D78"/>
  <c r="D579"/>
  <c r="D79"/>
  <c r="D580"/>
  <c r="D80"/>
  <c r="D581"/>
  <c r="D81"/>
  <c r="D582"/>
  <c r="D82"/>
  <c r="D583"/>
  <c r="G64" i="30"/>
  <c r="D83" i="32" s="1"/>
  <c r="D584"/>
  <c r="D84"/>
  <c r="D585"/>
  <c r="D85"/>
  <c r="D586"/>
  <c r="D86"/>
  <c r="D587"/>
  <c r="D87"/>
  <c r="D588"/>
  <c r="G69" i="30"/>
  <c r="D88" i="32"/>
  <c r="D589"/>
  <c r="D89"/>
  <c r="D590"/>
  <c r="D90"/>
  <c r="D591"/>
  <c r="G72" i="30"/>
  <c r="D91" i="32"/>
  <c r="D592"/>
  <c r="D92"/>
  <c r="D593"/>
  <c r="G74" i="30"/>
  <c r="D93" i="32" s="1"/>
  <c r="D594"/>
  <c r="D94"/>
  <c r="D595"/>
  <c r="D95"/>
  <c r="D596"/>
  <c r="D96"/>
  <c r="D597"/>
  <c r="D97"/>
  <c r="D598"/>
  <c r="D98"/>
  <c r="D599"/>
  <c r="D99"/>
  <c r="D600"/>
  <c r="D100"/>
  <c r="D601"/>
  <c r="D101"/>
  <c r="D602"/>
  <c r="D102"/>
  <c r="D603"/>
  <c r="D103"/>
  <c r="D604"/>
  <c r="D104"/>
  <c r="D605"/>
  <c r="G86" i="30"/>
  <c r="D105" i="32" s="1"/>
  <c r="D606"/>
  <c r="D106"/>
  <c r="D607"/>
  <c r="G88" i="30"/>
  <c r="D107" i="32" s="1"/>
  <c r="D608"/>
  <c r="D108"/>
  <c r="D609"/>
  <c r="G90" i="30"/>
  <c r="D109" i="32"/>
  <c r="D610"/>
  <c r="D110"/>
  <c r="D611"/>
  <c r="D111"/>
  <c r="D612"/>
  <c r="G93" i="30"/>
  <c r="D112" i="32" s="1"/>
  <c r="D613"/>
  <c r="D113"/>
  <c r="D614"/>
  <c r="D114"/>
  <c r="D615"/>
  <c r="G96" i="30"/>
  <c r="D115" i="32" s="1"/>
  <c r="D616"/>
  <c r="D116"/>
  <c r="D617"/>
  <c r="D117"/>
  <c r="D618"/>
  <c r="G99" i="30"/>
  <c r="D118" i="32" s="1"/>
  <c r="D619"/>
  <c r="G100" i="30"/>
  <c r="D119" i="32"/>
  <c r="D620"/>
  <c r="G101" i="30"/>
  <c r="D120" i="32" s="1"/>
  <c r="D621"/>
  <c r="G102" i="30"/>
  <c r="D121" i="32" s="1"/>
  <c r="D622"/>
  <c r="G103" i="30"/>
  <c r="D623" i="32"/>
  <c r="D123"/>
  <c r="D624"/>
  <c r="G105" i="30"/>
  <c r="D124" i="32"/>
  <c r="D625"/>
  <c r="D125"/>
  <c r="D626"/>
  <c r="D126"/>
  <c r="D627"/>
  <c r="D127"/>
  <c r="D628"/>
  <c r="D128"/>
  <c r="D629"/>
  <c r="G110" i="30"/>
  <c r="D129" i="32" s="1"/>
  <c r="D630"/>
  <c r="D130"/>
  <c r="D631"/>
  <c r="D131"/>
  <c r="D632"/>
  <c r="D132"/>
  <c r="D633"/>
  <c r="D133"/>
  <c r="D634"/>
  <c r="D134"/>
  <c r="D635"/>
  <c r="D135"/>
  <c r="D636"/>
  <c r="G117" i="30"/>
  <c r="D136" i="32"/>
  <c r="D637"/>
  <c r="D137"/>
  <c r="D638"/>
  <c r="G119" i="30"/>
  <c r="D138" i="32" s="1"/>
  <c r="D639"/>
  <c r="G120" i="30"/>
  <c r="D139" i="32"/>
  <c r="D640"/>
  <c r="G121" i="30"/>
  <c r="D140" i="32" s="1"/>
  <c r="D641"/>
  <c r="G122" i="30"/>
  <c r="D141" i="32" s="1"/>
  <c r="D642"/>
  <c r="G123" i="30"/>
  <c r="D142" i="32" s="1"/>
  <c r="D643"/>
  <c r="D143"/>
  <c r="D644"/>
  <c r="D144"/>
  <c r="D645"/>
  <c r="D145"/>
  <c r="D646"/>
  <c r="D146"/>
  <c r="D647"/>
  <c r="G128" i="30"/>
  <c r="D147" i="32"/>
  <c r="D648"/>
  <c r="G129" i="30"/>
  <c r="D148" i="32" s="1"/>
  <c r="D649"/>
  <c r="D149"/>
  <c r="D650"/>
  <c r="G131" i="30"/>
  <c r="D150" i="32"/>
  <c r="D651"/>
  <c r="D151"/>
  <c r="D652"/>
  <c r="D152"/>
  <c r="D653"/>
  <c r="G134" i="30"/>
  <c r="D153" i="32" s="1"/>
  <c r="D654"/>
  <c r="D154"/>
  <c r="D655"/>
  <c r="D155"/>
  <c r="D656"/>
  <c r="G137" i="30"/>
  <c r="D156" i="32" s="1"/>
  <c r="D657"/>
  <c r="G138" i="30"/>
  <c r="D157" i="32"/>
  <c r="D658"/>
  <c r="G139" i="30"/>
  <c r="D158" i="32"/>
  <c r="D659"/>
  <c r="D159"/>
  <c r="D660"/>
  <c r="D160"/>
  <c r="D661"/>
  <c r="G142" i="30"/>
  <c r="D161" i="32" s="1"/>
  <c r="D662"/>
  <c r="D162"/>
  <c r="D663"/>
  <c r="D163"/>
  <c r="D664"/>
  <c r="D164"/>
  <c r="D665"/>
  <c r="D165"/>
  <c r="D666"/>
  <c r="D166"/>
  <c r="D667"/>
  <c r="D167"/>
  <c r="D668"/>
  <c r="D168"/>
  <c r="D669"/>
  <c r="D169"/>
  <c r="D670"/>
  <c r="D170"/>
  <c r="D671"/>
  <c r="D171"/>
  <c r="D672"/>
  <c r="D172"/>
  <c r="D673"/>
  <c r="D173"/>
  <c r="D674"/>
  <c r="D174"/>
  <c r="D675"/>
  <c r="D175"/>
  <c r="D676"/>
  <c r="D176"/>
  <c r="D677"/>
  <c r="D177"/>
  <c r="D678"/>
  <c r="D178"/>
  <c r="D679"/>
  <c r="D179"/>
  <c r="D680"/>
  <c r="D180"/>
  <c r="D681"/>
  <c r="D181"/>
  <c r="D682"/>
  <c r="D182"/>
  <c r="D683"/>
  <c r="D183"/>
  <c r="D684"/>
  <c r="D184"/>
  <c r="D685"/>
  <c r="D185"/>
  <c r="D686"/>
  <c r="D186"/>
  <c r="E668"/>
  <c r="E669"/>
  <c r="E523"/>
  <c r="E524"/>
  <c r="E525"/>
  <c r="E526"/>
  <c r="E527"/>
  <c r="E528"/>
  <c r="E529"/>
  <c r="E530"/>
  <c r="E531"/>
  <c r="E532"/>
  <c r="E533"/>
  <c r="E534"/>
  <c r="E535"/>
  <c r="E536"/>
  <c r="E537"/>
  <c r="E538"/>
  <c r="E539"/>
  <c r="E540"/>
  <c r="E541"/>
  <c r="E542"/>
  <c r="E543"/>
  <c r="E544"/>
  <c r="E545"/>
  <c r="E546"/>
  <c r="E547"/>
  <c r="E548"/>
  <c r="E549"/>
  <c r="E550"/>
  <c r="E551"/>
  <c r="E552"/>
  <c r="E553"/>
  <c r="E554"/>
  <c r="E555"/>
  <c r="E556"/>
  <c r="E557"/>
  <c r="E558"/>
  <c r="E559"/>
  <c r="E560"/>
  <c r="E561"/>
  <c r="E562"/>
  <c r="E563"/>
  <c r="E564"/>
  <c r="E565"/>
  <c r="E566"/>
  <c r="E567"/>
  <c r="E568"/>
  <c r="E569"/>
  <c r="E570"/>
  <c r="E571"/>
  <c r="E572"/>
  <c r="E573"/>
  <c r="E574"/>
  <c r="E575"/>
  <c r="E576"/>
  <c r="E577"/>
  <c r="E578"/>
  <c r="E579"/>
  <c r="E580"/>
  <c r="E581"/>
  <c r="E582"/>
  <c r="E583"/>
  <c r="E584"/>
  <c r="E585"/>
  <c r="E586"/>
  <c r="E587"/>
  <c r="E588"/>
  <c r="E589"/>
  <c r="E590"/>
  <c r="E591"/>
  <c r="E592"/>
  <c r="E593"/>
  <c r="E594"/>
  <c r="E595"/>
  <c r="E596"/>
  <c r="E597"/>
  <c r="E598"/>
  <c r="E599"/>
  <c r="E600"/>
  <c r="E601"/>
  <c r="E602"/>
  <c r="E603"/>
  <c r="E604"/>
  <c r="E605"/>
  <c r="E606"/>
  <c r="E607"/>
  <c r="E608"/>
  <c r="E609"/>
  <c r="E610"/>
  <c r="E611"/>
  <c r="E612"/>
  <c r="E613"/>
  <c r="E614"/>
  <c r="E615"/>
  <c r="E616"/>
  <c r="E617"/>
  <c r="E618"/>
  <c r="E619"/>
  <c r="E620"/>
  <c r="E621"/>
  <c r="E622"/>
  <c r="E623"/>
  <c r="E624"/>
  <c r="E625"/>
  <c r="E626"/>
  <c r="E627"/>
  <c r="E628"/>
  <c r="E629"/>
  <c r="E630"/>
  <c r="E631"/>
  <c r="E632"/>
  <c r="E633"/>
  <c r="E634"/>
  <c r="E635"/>
  <c r="E636"/>
  <c r="E637"/>
  <c r="E638"/>
  <c r="E639"/>
  <c r="E640"/>
  <c r="E641"/>
  <c r="E642"/>
  <c r="E643"/>
  <c r="E644"/>
  <c r="E645"/>
  <c r="E646"/>
  <c r="E647"/>
  <c r="E648"/>
  <c r="E649"/>
  <c r="E650"/>
  <c r="E651"/>
  <c r="E652"/>
  <c r="E653"/>
  <c r="E654"/>
  <c r="E655"/>
  <c r="E656"/>
  <c r="E657"/>
  <c r="E658"/>
  <c r="E659"/>
  <c r="E660"/>
  <c r="E661"/>
  <c r="E662"/>
  <c r="E663"/>
  <c r="E664"/>
  <c r="E665"/>
  <c r="E666"/>
  <c r="E667"/>
  <c r="E670"/>
  <c r="E671"/>
  <c r="E672"/>
  <c r="E673"/>
  <c r="E674"/>
  <c r="E675"/>
  <c r="E676"/>
  <c r="E677"/>
  <c r="E678"/>
  <c r="E679"/>
  <c r="E680"/>
  <c r="E681"/>
  <c r="E682"/>
  <c r="E683"/>
  <c r="E684"/>
  <c r="E685"/>
  <c r="E686"/>
  <c r="D353"/>
  <c r="D9" s="1"/>
  <c r="E24" i="35"/>
  <c r="E36"/>
  <c r="E43"/>
  <c r="E40" s="1"/>
  <c r="D521" i="34"/>
  <c r="D354"/>
  <c r="D22"/>
  <c r="D522"/>
  <c r="D355"/>
  <c r="D23"/>
  <c r="D523"/>
  <c r="D356"/>
  <c r="D857"/>
  <c r="D24"/>
  <c r="D524"/>
  <c r="D357"/>
  <c r="D25"/>
  <c r="D525"/>
  <c r="D358"/>
  <c r="D526"/>
  <c r="D359"/>
  <c r="D27"/>
  <c r="D527"/>
  <c r="D360"/>
  <c r="D861" s="1"/>
  <c r="D28"/>
  <c r="D528"/>
  <c r="D361"/>
  <c r="D862" s="1"/>
  <c r="D29"/>
  <c r="D529"/>
  <c r="D362"/>
  <c r="D863"/>
  <c r="D1030" s="1"/>
  <c r="E195" s="1"/>
  <c r="D30"/>
  <c r="D530"/>
  <c r="D363"/>
  <c r="D31"/>
  <c r="D531"/>
  <c r="D364"/>
  <c r="D865" s="1"/>
  <c r="D32"/>
  <c r="D532"/>
  <c r="D365"/>
  <c r="D33"/>
  <c r="D533"/>
  <c r="D366"/>
  <c r="D867"/>
  <c r="D1034" s="1"/>
  <c r="E199" s="1"/>
  <c r="D34"/>
  <c r="D534"/>
  <c r="D367"/>
  <c r="D35"/>
  <c r="D535"/>
  <c r="D368"/>
  <c r="D869" s="1"/>
  <c r="D36"/>
  <c r="D536"/>
  <c r="D369"/>
  <c r="D37"/>
  <c r="D537"/>
  <c r="D370"/>
  <c r="D871"/>
  <c r="D38"/>
  <c r="D538"/>
  <c r="D371"/>
  <c r="D39"/>
  <c r="D539"/>
  <c r="D372"/>
  <c r="D873" s="1"/>
  <c r="D1040" s="1"/>
  <c r="E205" s="1"/>
  <c r="D40"/>
  <c r="D540"/>
  <c r="D373"/>
  <c r="D874" s="1"/>
  <c r="D41"/>
  <c r="D541"/>
  <c r="D374"/>
  <c r="D42"/>
  <c r="D542"/>
  <c r="D375"/>
  <c r="D43"/>
  <c r="D543"/>
  <c r="D376"/>
  <c r="D877"/>
  <c r="D44"/>
  <c r="D544"/>
  <c r="D377"/>
  <c r="D45"/>
  <c r="D545"/>
  <c r="D378"/>
  <c r="D879"/>
  <c r="D1046" s="1"/>
  <c r="E211" s="1"/>
  <c r="D46"/>
  <c r="D880" s="1"/>
  <c r="D1047" s="1"/>
  <c r="E212" s="1"/>
  <c r="D546"/>
  <c r="D379"/>
  <c r="D47"/>
  <c r="D547"/>
  <c r="D380"/>
  <c r="D48"/>
  <c r="D548"/>
  <c r="D381"/>
  <c r="D49"/>
  <c r="D549"/>
  <c r="D382"/>
  <c r="D883"/>
  <c r="D1050" s="1"/>
  <c r="D50"/>
  <c r="D550"/>
  <c r="D383"/>
  <c r="D51"/>
  <c r="D551"/>
  <c r="D384"/>
  <c r="D885" s="1"/>
  <c r="D1052" s="1"/>
  <c r="E217" s="1"/>
  <c r="D52"/>
  <c r="D552"/>
  <c r="D385"/>
  <c r="D53"/>
  <c r="D553"/>
  <c r="D386"/>
  <c r="D887"/>
  <c r="D54"/>
  <c r="D554"/>
  <c r="D387"/>
  <c r="D55"/>
  <c r="D555"/>
  <c r="D388"/>
  <c r="D889" s="1"/>
  <c r="D1056" s="1"/>
  <c r="E221" s="1"/>
  <c r="D56"/>
  <c r="D556"/>
  <c r="D389"/>
  <c r="D57"/>
  <c r="D557"/>
  <c r="D390"/>
  <c r="D58"/>
  <c r="D558"/>
  <c r="D391"/>
  <c r="D59"/>
  <c r="D559"/>
  <c r="D392"/>
  <c r="D893" s="1"/>
  <c r="D60"/>
  <c r="D560"/>
  <c r="D393"/>
  <c r="D61"/>
  <c r="D561"/>
  <c r="D394"/>
  <c r="D895"/>
  <c r="D62"/>
  <c r="D896" s="1"/>
  <c r="D562"/>
  <c r="D395"/>
  <c r="D63"/>
  <c r="D563"/>
  <c r="D396"/>
  <c r="D64"/>
  <c r="D564"/>
  <c r="D397"/>
  <c r="D65"/>
  <c r="D565"/>
  <c r="D398"/>
  <c r="D899"/>
  <c r="D1066" s="1"/>
  <c r="E231" s="1"/>
  <c r="D66"/>
  <c r="D566"/>
  <c r="D399"/>
  <c r="D67"/>
  <c r="D567"/>
  <c r="D400"/>
  <c r="D901" s="1"/>
  <c r="D1068" s="1"/>
  <c r="D68"/>
  <c r="D902" s="1"/>
  <c r="D568"/>
  <c r="D401"/>
  <c r="D69"/>
  <c r="D569"/>
  <c r="D402"/>
  <c r="D903"/>
  <c r="D70"/>
  <c r="D570"/>
  <c r="D403"/>
  <c r="D71"/>
  <c r="D571"/>
  <c r="D404"/>
  <c r="D905" s="1"/>
  <c r="D1072" s="1"/>
  <c r="D72"/>
  <c r="D572"/>
  <c r="D405"/>
  <c r="D73"/>
  <c r="D573"/>
  <c r="D406"/>
  <c r="D74"/>
  <c r="D574"/>
  <c r="D407"/>
  <c r="D75"/>
  <c r="D575"/>
  <c r="D408"/>
  <c r="D909"/>
  <c r="D76"/>
  <c r="D576"/>
  <c r="D409"/>
  <c r="D910" s="1"/>
  <c r="D77"/>
  <c r="E77" s="1"/>
  <c r="D577"/>
  <c r="D410"/>
  <c r="D911"/>
  <c r="D78"/>
  <c r="D578"/>
  <c r="D411"/>
  <c r="D912"/>
  <c r="D79"/>
  <c r="E79" s="1"/>
  <c r="D579"/>
  <c r="D412"/>
  <c r="D913"/>
  <c r="D80"/>
  <c r="D580"/>
  <c r="D413"/>
  <c r="D914"/>
  <c r="D81"/>
  <c r="E81" s="1"/>
  <c r="D581"/>
  <c r="D414"/>
  <c r="D915"/>
  <c r="D82"/>
  <c r="D582"/>
  <c r="D415"/>
  <c r="D916"/>
  <c r="D83"/>
  <c r="D583"/>
  <c r="D416"/>
  <c r="D917"/>
  <c r="D1084" s="1"/>
  <c r="E249" s="1"/>
  <c r="D84"/>
  <c r="D584"/>
  <c r="D417"/>
  <c r="D918"/>
  <c r="D85"/>
  <c r="E85" s="1"/>
  <c r="D585"/>
  <c r="D418"/>
  <c r="D919"/>
  <c r="D86"/>
  <c r="D586"/>
  <c r="D419"/>
  <c r="D920"/>
  <c r="D87"/>
  <c r="D587"/>
  <c r="D420"/>
  <c r="D921"/>
  <c r="D88"/>
  <c r="D588"/>
  <c r="D421"/>
  <c r="D922"/>
  <c r="D89"/>
  <c r="E89" s="1"/>
  <c r="D589"/>
  <c r="D422"/>
  <c r="D923"/>
  <c r="D1090" s="1"/>
  <c r="E255" s="1"/>
  <c r="D90"/>
  <c r="D590"/>
  <c r="D423"/>
  <c r="D924"/>
  <c r="D91"/>
  <c r="E91" s="1"/>
  <c r="D591"/>
  <c r="D424"/>
  <c r="D925"/>
  <c r="D92"/>
  <c r="D592"/>
  <c r="D425"/>
  <c r="D926"/>
  <c r="D93"/>
  <c r="E93" s="1"/>
  <c r="D593"/>
  <c r="D426"/>
  <c r="D927"/>
  <c r="D1094" s="1"/>
  <c r="D94"/>
  <c r="D594"/>
  <c r="D427"/>
  <c r="D928"/>
  <c r="D95"/>
  <c r="E95" s="1"/>
  <c r="D595"/>
  <c r="D428"/>
  <c r="D929"/>
  <c r="D96"/>
  <c r="D596"/>
  <c r="D429"/>
  <c r="D930"/>
  <c r="D97"/>
  <c r="E97" s="1"/>
  <c r="D597"/>
  <c r="D430"/>
  <c r="D931"/>
  <c r="D1098" s="1"/>
  <c r="D98"/>
  <c r="D598"/>
  <c r="D431"/>
  <c r="D932"/>
  <c r="D99"/>
  <c r="E99" s="1"/>
  <c r="D599"/>
  <c r="D432"/>
  <c r="D933"/>
  <c r="D100"/>
  <c r="D600"/>
  <c r="D433"/>
  <c r="D934"/>
  <c r="D101"/>
  <c r="E101" s="1"/>
  <c r="D601"/>
  <c r="D434"/>
  <c r="D935"/>
  <c r="D1102" s="1"/>
  <c r="D102"/>
  <c r="D602"/>
  <c r="D435"/>
  <c r="D936"/>
  <c r="D103"/>
  <c r="E103" s="1"/>
  <c r="D603"/>
  <c r="D436"/>
  <c r="D937"/>
  <c r="D104"/>
  <c r="D604"/>
  <c r="D437"/>
  <c r="D938"/>
  <c r="D105"/>
  <c r="D605"/>
  <c r="D438"/>
  <c r="D939"/>
  <c r="D106"/>
  <c r="D606"/>
  <c r="D439"/>
  <c r="D940"/>
  <c r="D107"/>
  <c r="E107" s="1"/>
  <c r="D607"/>
  <c r="D440"/>
  <c r="D941"/>
  <c r="D108"/>
  <c r="D608"/>
  <c r="D441"/>
  <c r="D942"/>
  <c r="D109"/>
  <c r="E109" s="1"/>
  <c r="D609"/>
  <c r="D442"/>
  <c r="D943"/>
  <c r="D110"/>
  <c r="D610"/>
  <c r="D443"/>
  <c r="D944"/>
  <c r="D111"/>
  <c r="D611"/>
  <c r="D444"/>
  <c r="D945"/>
  <c r="D112"/>
  <c r="D612"/>
  <c r="D445"/>
  <c r="D946"/>
  <c r="D113"/>
  <c r="E113" s="1"/>
  <c r="D613"/>
  <c r="D446"/>
  <c r="D947"/>
  <c r="D114"/>
  <c r="D614"/>
  <c r="D447"/>
  <c r="D948"/>
  <c r="D115"/>
  <c r="D615"/>
  <c r="D448"/>
  <c r="D949"/>
  <c r="D1116" s="1"/>
  <c r="E281" s="1"/>
  <c r="D116"/>
  <c r="D616"/>
  <c r="D449"/>
  <c r="D950"/>
  <c r="D117"/>
  <c r="E117" s="1"/>
  <c r="D617"/>
  <c r="D450"/>
  <c r="D951"/>
  <c r="D118"/>
  <c r="D618"/>
  <c r="D451"/>
  <c r="D952"/>
  <c r="D119"/>
  <c r="D619"/>
  <c r="D452"/>
  <c r="D953"/>
  <c r="D1120" s="1"/>
  <c r="E285" s="1"/>
  <c r="D620"/>
  <c r="D453"/>
  <c r="D121"/>
  <c r="D621"/>
  <c r="D454"/>
  <c r="D955"/>
  <c r="D1122" s="1"/>
  <c r="E287" s="1"/>
  <c r="D122"/>
  <c r="D622"/>
  <c r="D455"/>
  <c r="D956"/>
  <c r="D123"/>
  <c r="D623"/>
  <c r="D456"/>
  <c r="D957"/>
  <c r="D124"/>
  <c r="D624"/>
  <c r="D457"/>
  <c r="D958"/>
  <c r="D125"/>
  <c r="D625"/>
  <c r="D458"/>
  <c r="D959"/>
  <c r="D126"/>
  <c r="D626"/>
  <c r="D459"/>
  <c r="D960"/>
  <c r="D127"/>
  <c r="E127" s="1"/>
  <c r="D627"/>
  <c r="D460"/>
  <c r="D961"/>
  <c r="D128"/>
  <c r="D628"/>
  <c r="D461"/>
  <c r="D962"/>
  <c r="D129"/>
  <c r="D629"/>
  <c r="D462"/>
  <c r="D963"/>
  <c r="D130"/>
  <c r="D630"/>
  <c r="D463"/>
  <c r="D964"/>
  <c r="D131"/>
  <c r="D631"/>
  <c r="D464"/>
  <c r="D965"/>
  <c r="D132"/>
  <c r="D632"/>
  <c r="D465"/>
  <c r="D966"/>
  <c r="D133"/>
  <c r="D633"/>
  <c r="D466"/>
  <c r="D967"/>
  <c r="D134"/>
  <c r="D634"/>
  <c r="D467"/>
  <c r="D968"/>
  <c r="D135"/>
  <c r="D635"/>
  <c r="D468"/>
  <c r="D969"/>
  <c r="D136"/>
  <c r="D636"/>
  <c r="D469"/>
  <c r="D970"/>
  <c r="D137"/>
  <c r="E137" s="1"/>
  <c r="D637"/>
  <c r="D470"/>
  <c r="D971"/>
  <c r="D138"/>
  <c r="D638"/>
  <c r="D471"/>
  <c r="D972"/>
  <c r="D139"/>
  <c r="D639"/>
  <c r="D472"/>
  <c r="D973"/>
  <c r="D140"/>
  <c r="D640"/>
  <c r="D473"/>
  <c r="D974"/>
  <c r="D141"/>
  <c r="D641"/>
  <c r="D474"/>
  <c r="D975"/>
  <c r="D142"/>
  <c r="D642"/>
  <c r="D475"/>
  <c r="D976"/>
  <c r="D143"/>
  <c r="E143" s="1"/>
  <c r="D643"/>
  <c r="D476"/>
  <c r="D977"/>
  <c r="D144"/>
  <c r="D644"/>
  <c r="D477"/>
  <c r="D978"/>
  <c r="D145"/>
  <c r="D645"/>
  <c r="D478"/>
  <c r="D979"/>
  <c r="D146"/>
  <c r="D646"/>
  <c r="D479"/>
  <c r="D980"/>
  <c r="D147"/>
  <c r="D647"/>
  <c r="D480"/>
  <c r="D981"/>
  <c r="D148"/>
  <c r="D648"/>
  <c r="D481"/>
  <c r="D982"/>
  <c r="D149"/>
  <c r="D649"/>
  <c r="D482"/>
  <c r="D983"/>
  <c r="D150"/>
  <c r="D650"/>
  <c r="D483"/>
  <c r="D984"/>
  <c r="D151"/>
  <c r="E151" s="1"/>
  <c r="D651"/>
  <c r="D484"/>
  <c r="D985"/>
  <c r="D152"/>
  <c r="D652"/>
  <c r="D485"/>
  <c r="D986"/>
  <c r="D153"/>
  <c r="E153" s="1"/>
  <c r="D653"/>
  <c r="D486"/>
  <c r="D987"/>
  <c r="D154"/>
  <c r="D654"/>
  <c r="D487"/>
  <c r="D988"/>
  <c r="D155"/>
  <c r="D655"/>
  <c r="D488"/>
  <c r="D989"/>
  <c r="D156"/>
  <c r="D656"/>
  <c r="D489"/>
  <c r="D990"/>
  <c r="D157"/>
  <c r="D657"/>
  <c r="D490"/>
  <c r="D991"/>
  <c r="D158"/>
  <c r="D658"/>
  <c r="D491"/>
  <c r="D992"/>
  <c r="D159"/>
  <c r="E159" s="1"/>
  <c r="D659"/>
  <c r="D492"/>
  <c r="D993"/>
  <c r="D1160" s="1"/>
  <c r="E325" s="1"/>
  <c r="D160"/>
  <c r="D660"/>
  <c r="D493"/>
  <c r="D994"/>
  <c r="D161"/>
  <c r="D661"/>
  <c r="D494"/>
  <c r="D995"/>
  <c r="D1162" s="1"/>
  <c r="E327" s="1"/>
  <c r="D162"/>
  <c r="D662"/>
  <c r="D495"/>
  <c r="D996"/>
  <c r="D163"/>
  <c r="D663"/>
  <c r="D496"/>
  <c r="D997"/>
  <c r="D164"/>
  <c r="D664"/>
  <c r="D497"/>
  <c r="D998"/>
  <c r="D165"/>
  <c r="D665"/>
  <c r="D498"/>
  <c r="D999"/>
  <c r="D166"/>
  <c r="D666"/>
  <c r="D499"/>
  <c r="D1000"/>
  <c r="D167"/>
  <c r="E167" s="1"/>
  <c r="D667"/>
  <c r="D500"/>
  <c r="D1001"/>
  <c r="D168"/>
  <c r="D668"/>
  <c r="D501"/>
  <c r="D1002"/>
  <c r="D169"/>
  <c r="D669"/>
  <c r="D502"/>
  <c r="D1003"/>
  <c r="D170"/>
  <c r="D670"/>
  <c r="D503"/>
  <c r="D1004"/>
  <c r="D171"/>
  <c r="E171" s="1"/>
  <c r="D671"/>
  <c r="D504"/>
  <c r="D1005"/>
  <c r="D172"/>
  <c r="D672"/>
  <c r="D505"/>
  <c r="D1006"/>
  <c r="D173"/>
  <c r="D673"/>
  <c r="D506"/>
  <c r="D1007"/>
  <c r="D174"/>
  <c r="D674"/>
  <c r="D507"/>
  <c r="D1008"/>
  <c r="D175"/>
  <c r="E175" s="1"/>
  <c r="D675"/>
  <c r="D508"/>
  <c r="D1009"/>
  <c r="D176"/>
  <c r="D676"/>
  <c r="D509"/>
  <c r="D1010"/>
  <c r="D177"/>
  <c r="D677"/>
  <c r="D510"/>
  <c r="D1011"/>
  <c r="D178"/>
  <c r="D678"/>
  <c r="D511"/>
  <c r="D1012"/>
  <c r="D179"/>
  <c r="E179" s="1"/>
  <c r="D679"/>
  <c r="D512"/>
  <c r="D1013"/>
  <c r="D180"/>
  <c r="D680"/>
  <c r="D513"/>
  <c r="D1014"/>
  <c r="D181"/>
  <c r="D681"/>
  <c r="D514"/>
  <c r="D1015"/>
  <c r="D182"/>
  <c r="D682"/>
  <c r="D515"/>
  <c r="D1016"/>
  <c r="D183"/>
  <c r="D683"/>
  <c r="D516"/>
  <c r="D1017"/>
  <c r="D184"/>
  <c r="D684"/>
  <c r="D517"/>
  <c r="D1018"/>
  <c r="D22" i="33"/>
  <c r="E6" i="13"/>
  <c r="D38" i="33" s="1"/>
  <c r="D23"/>
  <c r="D39"/>
  <c r="D93"/>
  <c r="D111" s="1"/>
  <c r="E39" s="1"/>
  <c r="D24"/>
  <c r="D40"/>
  <c r="D94"/>
  <c r="D25"/>
  <c r="D41"/>
  <c r="D95"/>
  <c r="D26"/>
  <c r="D42"/>
  <c r="D27"/>
  <c r="D97" s="1"/>
  <c r="D115" s="1"/>
  <c r="E43" s="1"/>
  <c r="D43"/>
  <c r="D28"/>
  <c r="D44"/>
  <c r="D98"/>
  <c r="D29"/>
  <c r="D45"/>
  <c r="D99"/>
  <c r="D117" s="1"/>
  <c r="E45" s="1"/>
  <c r="E99" s="1"/>
  <c r="D30"/>
  <c r="D100" s="1"/>
  <c r="D118" s="1"/>
  <c r="E46" s="1"/>
  <c r="D46"/>
  <c r="D31"/>
  <c r="D47"/>
  <c r="D101"/>
  <c r="D32"/>
  <c r="D48"/>
  <c r="D102"/>
  <c r="D33"/>
  <c r="D49"/>
  <c r="D103"/>
  <c r="D34"/>
  <c r="D50"/>
  <c r="D35"/>
  <c r="D51"/>
  <c r="E75" i="2"/>
  <c r="E27" i="35" s="1"/>
  <c r="E39" s="1"/>
  <c r="F24"/>
  <c r="F36"/>
  <c r="E521" i="34"/>
  <c r="E354"/>
  <c r="G5" i="30"/>
  <c r="E22" i="34"/>
  <c r="E522"/>
  <c r="E355"/>
  <c r="E23"/>
  <c r="D1024"/>
  <c r="E189"/>
  <c r="E523"/>
  <c r="E356"/>
  <c r="E24"/>
  <c r="E524"/>
  <c r="E357"/>
  <c r="G8" i="30"/>
  <c r="E25" i="34"/>
  <c r="E525"/>
  <c r="E358"/>
  <c r="E526"/>
  <c r="E359"/>
  <c r="G10" i="30"/>
  <c r="E27" i="34"/>
  <c r="E527"/>
  <c r="E360"/>
  <c r="E28"/>
  <c r="D1029"/>
  <c r="E194"/>
  <c r="E862" s="1"/>
  <c r="E528"/>
  <c r="E361"/>
  <c r="E29"/>
  <c r="E529"/>
  <c r="E362"/>
  <c r="G13" i="30"/>
  <c r="E530" i="34"/>
  <c r="E363"/>
  <c r="E31"/>
  <c r="D1032"/>
  <c r="E197"/>
  <c r="E865" s="1"/>
  <c r="E531"/>
  <c r="E364"/>
  <c r="E32"/>
  <c r="E532"/>
  <c r="E365"/>
  <c r="E33"/>
  <c r="E533"/>
  <c r="E366"/>
  <c r="G17" i="30"/>
  <c r="E534" i="34"/>
  <c r="E367"/>
  <c r="E35"/>
  <c r="E869" s="1"/>
  <c r="D1036"/>
  <c r="E201" s="1"/>
  <c r="E535"/>
  <c r="E368"/>
  <c r="E36"/>
  <c r="E536"/>
  <c r="E369"/>
  <c r="E37"/>
  <c r="D1038"/>
  <c r="E203"/>
  <c r="E537"/>
  <c r="E370"/>
  <c r="E871"/>
  <c r="E1038" s="1"/>
  <c r="F203" s="1"/>
  <c r="G21" i="30"/>
  <c r="E38" i="34" s="1"/>
  <c r="E538"/>
  <c r="E371"/>
  <c r="E39"/>
  <c r="E539"/>
  <c r="E372"/>
  <c r="E873"/>
  <c r="E40"/>
  <c r="D1041"/>
  <c r="E206"/>
  <c r="E874" s="1"/>
  <c r="E540"/>
  <c r="E373"/>
  <c r="E41"/>
  <c r="E541"/>
  <c r="E374"/>
  <c r="G25" i="30"/>
  <c r="E42" i="34"/>
  <c r="E542"/>
  <c r="E375"/>
  <c r="E43"/>
  <c r="E543"/>
  <c r="E376"/>
  <c r="E44"/>
  <c r="E544"/>
  <c r="E377"/>
  <c r="E45"/>
  <c r="E545"/>
  <c r="E378"/>
  <c r="E46"/>
  <c r="E546"/>
  <c r="E379"/>
  <c r="E47"/>
  <c r="E547"/>
  <c r="E380"/>
  <c r="E48"/>
  <c r="E548"/>
  <c r="E381"/>
  <c r="E49"/>
  <c r="E215"/>
  <c r="E549"/>
  <c r="E382"/>
  <c r="E50"/>
  <c r="E550"/>
  <c r="E383"/>
  <c r="E51"/>
  <c r="E551"/>
  <c r="E384"/>
  <c r="E52"/>
  <c r="E552"/>
  <c r="E385"/>
  <c r="E53"/>
  <c r="D1054"/>
  <c r="E219"/>
  <c r="E553"/>
  <c r="E386"/>
  <c r="E54"/>
  <c r="E554"/>
  <c r="E387"/>
  <c r="E55"/>
  <c r="E555"/>
  <c r="E388"/>
  <c r="E56"/>
  <c r="E556"/>
  <c r="E389"/>
  <c r="E57"/>
  <c r="E557"/>
  <c r="E390"/>
  <c r="E58"/>
  <c r="E558"/>
  <c r="E391"/>
  <c r="G42" i="30"/>
  <c r="E59" i="34" s="1"/>
  <c r="E559"/>
  <c r="E392"/>
  <c r="E60"/>
  <c r="E560"/>
  <c r="E393"/>
  <c r="E61"/>
  <c r="D1062"/>
  <c r="E227"/>
  <c r="E895" s="1"/>
  <c r="E561"/>
  <c r="E394"/>
  <c r="E62"/>
  <c r="E896" s="1"/>
  <c r="D1063"/>
  <c r="E228" s="1"/>
  <c r="E562"/>
  <c r="E395"/>
  <c r="E63"/>
  <c r="E563"/>
  <c r="E396"/>
  <c r="E64"/>
  <c r="E564"/>
  <c r="E397"/>
  <c r="E65"/>
  <c r="E565"/>
  <c r="E398"/>
  <c r="G49" i="30"/>
  <c r="E66" i="34"/>
  <c r="E566"/>
  <c r="E399"/>
  <c r="E67"/>
  <c r="E233"/>
  <c r="E567"/>
  <c r="E400"/>
  <c r="E901"/>
  <c r="E1068" s="1"/>
  <c r="F233" s="1"/>
  <c r="G51" i="30"/>
  <c r="E68" i="34" s="1"/>
  <c r="E568"/>
  <c r="E401"/>
  <c r="E69"/>
  <c r="D1070"/>
  <c r="E235" s="1"/>
  <c r="E569"/>
  <c r="E402"/>
  <c r="E903"/>
  <c r="E1070" s="1"/>
  <c r="F235" s="1"/>
  <c r="E70"/>
  <c r="E570"/>
  <c r="E403"/>
  <c r="G54" i="30"/>
  <c r="E71" i="34"/>
  <c r="E237"/>
  <c r="E571"/>
  <c r="E404"/>
  <c r="E72"/>
  <c r="E572"/>
  <c r="E405"/>
  <c r="E73"/>
  <c r="E573"/>
  <c r="E406"/>
  <c r="E74"/>
  <c r="E574"/>
  <c r="E407"/>
  <c r="E75"/>
  <c r="E575"/>
  <c r="E408"/>
  <c r="G59" i="30"/>
  <c r="E76" i="34"/>
  <c r="D1077"/>
  <c r="E242" s="1"/>
  <c r="E576"/>
  <c r="E409"/>
  <c r="E577"/>
  <c r="E410"/>
  <c r="E78"/>
  <c r="D1079"/>
  <c r="E244" s="1"/>
  <c r="E578"/>
  <c r="E411"/>
  <c r="E912"/>
  <c r="D1080"/>
  <c r="E245" s="1"/>
  <c r="E579"/>
  <c r="E412"/>
  <c r="E80"/>
  <c r="D1081"/>
  <c r="E246" s="1"/>
  <c r="E580"/>
  <c r="E413"/>
  <c r="E581"/>
  <c r="E414"/>
  <c r="G65" i="30"/>
  <c r="D1083" i="34"/>
  <c r="E248"/>
  <c r="E582"/>
  <c r="E415"/>
  <c r="E83"/>
  <c r="E917" s="1"/>
  <c r="E583"/>
  <c r="E416"/>
  <c r="E84"/>
  <c r="D1085"/>
  <c r="E250"/>
  <c r="E584"/>
  <c r="E417"/>
  <c r="E585"/>
  <c r="E418"/>
  <c r="E86"/>
  <c r="D1087"/>
  <c r="E252"/>
  <c r="E920" s="1"/>
  <c r="E1087" s="1"/>
  <c r="E586"/>
  <c r="E419"/>
  <c r="G70" i="30"/>
  <c r="E87" i="34" s="1"/>
  <c r="E587"/>
  <c r="E420"/>
  <c r="E88"/>
  <c r="D1089"/>
  <c r="E254" s="1"/>
  <c r="E588"/>
  <c r="E421"/>
  <c r="E589"/>
  <c r="E422"/>
  <c r="G73" i="30"/>
  <c r="E90" i="34"/>
  <c r="D1091"/>
  <c r="E256"/>
  <c r="E590"/>
  <c r="E423"/>
  <c r="E924"/>
  <c r="E591"/>
  <c r="E424"/>
  <c r="G75" i="30"/>
  <c r="E92" i="34" s="1"/>
  <c r="F92" s="1"/>
  <c r="D1093"/>
  <c r="E258" s="1"/>
  <c r="E592"/>
  <c r="E425"/>
  <c r="E926"/>
  <c r="E1093" s="1"/>
  <c r="F258" s="1"/>
  <c r="F926" s="1"/>
  <c r="E259"/>
  <c r="E593"/>
  <c r="E426"/>
  <c r="E94"/>
  <c r="D1095"/>
  <c r="E260" s="1"/>
  <c r="E594"/>
  <c r="E427"/>
  <c r="E595"/>
  <c r="E428"/>
  <c r="E96"/>
  <c r="D1097"/>
  <c r="E262" s="1"/>
  <c r="E596"/>
  <c r="E429"/>
  <c r="E930"/>
  <c r="E1097" s="1"/>
  <c r="E263"/>
  <c r="E597"/>
  <c r="E430"/>
  <c r="E98"/>
  <c r="D1099"/>
  <c r="E264" s="1"/>
  <c r="E598"/>
  <c r="E431"/>
  <c r="E599"/>
  <c r="E432"/>
  <c r="E100"/>
  <c r="D1101"/>
  <c r="E266" s="1"/>
  <c r="E600"/>
  <c r="E433"/>
  <c r="E934"/>
  <c r="E267"/>
  <c r="E601"/>
  <c r="E434"/>
  <c r="E102"/>
  <c r="D1103"/>
  <c r="E268" s="1"/>
  <c r="E602"/>
  <c r="E435"/>
  <c r="E603"/>
  <c r="E436"/>
  <c r="G87" i="30"/>
  <c r="E104" i="34" s="1"/>
  <c r="D1105"/>
  <c r="E270"/>
  <c r="E604"/>
  <c r="E437"/>
  <c r="E105"/>
  <c r="D1106"/>
  <c r="E271" s="1"/>
  <c r="E605"/>
  <c r="E438"/>
  <c r="G89" i="30"/>
  <c r="D1107" i="34"/>
  <c r="E272"/>
  <c r="E606"/>
  <c r="E439"/>
  <c r="D1108"/>
  <c r="E273" s="1"/>
  <c r="E607"/>
  <c r="E440"/>
  <c r="G91" i="30"/>
  <c r="E108" i="34"/>
  <c r="D1109"/>
  <c r="E274"/>
  <c r="E608"/>
  <c r="E441"/>
  <c r="E942"/>
  <c r="E609"/>
  <c r="E442"/>
  <c r="E110"/>
  <c r="D1111"/>
  <c r="E276" s="1"/>
  <c r="E610"/>
  <c r="E443"/>
  <c r="G94" i="30"/>
  <c r="D1112" i="34"/>
  <c r="E277" s="1"/>
  <c r="E611"/>
  <c r="E444"/>
  <c r="E112"/>
  <c r="D1113"/>
  <c r="E278" s="1"/>
  <c r="E612"/>
  <c r="E445"/>
  <c r="E613"/>
  <c r="E446"/>
  <c r="G97" i="30"/>
  <c r="D1115" i="34"/>
  <c r="E280"/>
  <c r="E614"/>
  <c r="E447"/>
  <c r="E115"/>
  <c r="E949" s="1"/>
  <c r="E615"/>
  <c r="E448"/>
  <c r="E116"/>
  <c r="D1117"/>
  <c r="E282"/>
  <c r="E616"/>
  <c r="E449"/>
  <c r="E617"/>
  <c r="E450"/>
  <c r="E118"/>
  <c r="D1119"/>
  <c r="E284"/>
  <c r="E952" s="1"/>
  <c r="E1119" s="1"/>
  <c r="F284" s="1"/>
  <c r="F952" s="1"/>
  <c r="E618"/>
  <c r="E451"/>
  <c r="E119"/>
  <c r="E619"/>
  <c r="E452"/>
  <c r="E620"/>
  <c r="E453"/>
  <c r="G104" i="30"/>
  <c r="E121" i="34"/>
  <c r="E621"/>
  <c r="E454"/>
  <c r="E122"/>
  <c r="D1123"/>
  <c r="E288"/>
  <c r="E622"/>
  <c r="E455"/>
  <c r="E956"/>
  <c r="G106" i="30"/>
  <c r="E623" i="34"/>
  <c r="E456"/>
  <c r="E124"/>
  <c r="E958" s="1"/>
  <c r="E1125" s="1"/>
  <c r="F290" s="1"/>
  <c r="D1125"/>
  <c r="E290" s="1"/>
  <c r="E624"/>
  <c r="E457"/>
  <c r="E125"/>
  <c r="E625"/>
  <c r="E458"/>
  <c r="E126"/>
  <c r="D1127"/>
  <c r="E292"/>
  <c r="E626"/>
  <c r="E459"/>
  <c r="E960"/>
  <c r="E1127" s="1"/>
  <c r="E627"/>
  <c r="E460"/>
  <c r="G111" i="30"/>
  <c r="D1129" i="34"/>
  <c r="E294" s="1"/>
  <c r="E628"/>
  <c r="E461"/>
  <c r="G112" i="30"/>
  <c r="E129" i="34"/>
  <c r="D1130"/>
  <c r="E295" s="1"/>
  <c r="E629"/>
  <c r="E462"/>
  <c r="G113" i="30"/>
  <c r="D1131" i="34"/>
  <c r="E296"/>
  <c r="E630"/>
  <c r="E463"/>
  <c r="G114" i="30"/>
  <c r="E131" i="34"/>
  <c r="E631"/>
  <c r="E464"/>
  <c r="G115" i="30"/>
  <c r="E132" i="34"/>
  <c r="D1133"/>
  <c r="E298" s="1"/>
  <c r="E632"/>
  <c r="E465"/>
  <c r="G116" i="30"/>
  <c r="E133" i="34"/>
  <c r="E633"/>
  <c r="E466"/>
  <c r="E134"/>
  <c r="D1135"/>
  <c r="E300"/>
  <c r="E634"/>
  <c r="E467"/>
  <c r="G118" i="30"/>
  <c r="E635" i="34"/>
  <c r="E468"/>
  <c r="E136"/>
  <c r="D1137"/>
  <c r="E302"/>
  <c r="E970" s="1"/>
  <c r="E636"/>
  <c r="E469"/>
  <c r="D1138"/>
  <c r="E303" s="1"/>
  <c r="E637"/>
  <c r="E470"/>
  <c r="E138"/>
  <c r="D1139"/>
  <c r="E304"/>
  <c r="E638"/>
  <c r="E972" s="1"/>
  <c r="E1139" s="1"/>
  <c r="F304" s="1"/>
  <c r="E471"/>
  <c r="E139"/>
  <c r="E639"/>
  <c r="E472"/>
  <c r="E140"/>
  <c r="D1141"/>
  <c r="E306" s="1"/>
  <c r="E974" s="1"/>
  <c r="E640"/>
  <c r="E473"/>
  <c r="G124" i="30"/>
  <c r="E141" i="34"/>
  <c r="E641"/>
  <c r="E474"/>
  <c r="E142"/>
  <c r="D1143"/>
  <c r="E308"/>
  <c r="E976" s="1"/>
  <c r="E642"/>
  <c r="E475"/>
  <c r="E643"/>
  <c r="E476"/>
  <c r="E144"/>
  <c r="D1145"/>
  <c r="E310" s="1"/>
  <c r="E644"/>
  <c r="E477"/>
  <c r="E145"/>
  <c r="E645"/>
  <c r="E478"/>
  <c r="E146"/>
  <c r="D1147"/>
  <c r="E312"/>
  <c r="E980" s="1"/>
  <c r="E646"/>
  <c r="E479"/>
  <c r="G130" i="30"/>
  <c r="E147" i="34" s="1"/>
  <c r="E647"/>
  <c r="E480"/>
  <c r="E148"/>
  <c r="E982" s="1"/>
  <c r="E1149" s="1"/>
  <c r="F314" s="1"/>
  <c r="D1149"/>
  <c r="E314" s="1"/>
  <c r="E648"/>
  <c r="E481"/>
  <c r="G132" i="30"/>
  <c r="E149" i="34"/>
  <c r="D1150"/>
  <c r="E315" s="1"/>
  <c r="E649"/>
  <c r="E482"/>
  <c r="G133" i="30"/>
  <c r="D1151" i="34"/>
  <c r="E316"/>
  <c r="E650"/>
  <c r="E483"/>
  <c r="D1152"/>
  <c r="E317" s="1"/>
  <c r="E651"/>
  <c r="E484"/>
  <c r="G135" i="30"/>
  <c r="E152" i="34"/>
  <c r="D1153"/>
  <c r="E318"/>
  <c r="E986" s="1"/>
  <c r="E652"/>
  <c r="E485"/>
  <c r="E653"/>
  <c r="E486"/>
  <c r="E154"/>
  <c r="D1155"/>
  <c r="E320" s="1"/>
  <c r="E654"/>
  <c r="E487"/>
  <c r="E155"/>
  <c r="E655"/>
  <c r="E488"/>
  <c r="E156"/>
  <c r="D1157"/>
  <c r="E322"/>
  <c r="E656"/>
  <c r="E489"/>
  <c r="G140" i="30"/>
  <c r="E157" i="34" s="1"/>
  <c r="E657"/>
  <c r="E490"/>
  <c r="E158"/>
  <c r="E992" s="1"/>
  <c r="E1159" s="1"/>
  <c r="F324" s="1"/>
  <c r="D1159"/>
  <c r="E324" s="1"/>
  <c r="E658"/>
  <c r="E491"/>
  <c r="E659"/>
  <c r="E492"/>
  <c r="G143" i="30"/>
  <c r="E160" i="34"/>
  <c r="D1161"/>
  <c r="E326"/>
  <c r="E660"/>
  <c r="E493"/>
  <c r="G144" i="30"/>
  <c r="E161" i="34"/>
  <c r="E661"/>
  <c r="E494"/>
  <c r="E162"/>
  <c r="D1163"/>
  <c r="E328"/>
  <c r="E662"/>
  <c r="E996" s="1"/>
  <c r="E1163" s="1"/>
  <c r="F328" s="1"/>
  <c r="E495"/>
  <c r="E163"/>
  <c r="E663"/>
  <c r="E496"/>
  <c r="G147" i="30"/>
  <c r="E164" i="34"/>
  <c r="D1165"/>
  <c r="E330" s="1"/>
  <c r="E664"/>
  <c r="E497"/>
  <c r="G148" i="30"/>
  <c r="E165" i="34" s="1"/>
  <c r="E665"/>
  <c r="E498"/>
  <c r="E166"/>
  <c r="D1167"/>
  <c r="E332" s="1"/>
  <c r="E666"/>
  <c r="E499"/>
  <c r="E667"/>
  <c r="E500"/>
  <c r="D1169"/>
  <c r="E334" s="1"/>
  <c r="E168"/>
  <c r="E668"/>
  <c r="E501"/>
  <c r="E1002"/>
  <c r="E1169" s="1"/>
  <c r="F334" s="1"/>
  <c r="E169"/>
  <c r="E669"/>
  <c r="E502"/>
  <c r="D1171"/>
  <c r="E336"/>
  <c r="E170"/>
  <c r="E1004" s="1"/>
  <c r="E670"/>
  <c r="E503"/>
  <c r="E671"/>
  <c r="E504"/>
  <c r="D1173"/>
  <c r="E338" s="1"/>
  <c r="E172"/>
  <c r="E672"/>
  <c r="E505"/>
  <c r="E173"/>
  <c r="E673"/>
  <c r="E506"/>
  <c r="D1175"/>
  <c r="E340"/>
  <c r="E174"/>
  <c r="E674"/>
  <c r="E507"/>
  <c r="E675"/>
  <c r="E508"/>
  <c r="D1177"/>
  <c r="E342" s="1"/>
  <c r="E1010" s="1"/>
  <c r="E1177" s="1"/>
  <c r="F342" s="1"/>
  <c r="E176"/>
  <c r="E676"/>
  <c r="E509"/>
  <c r="E177"/>
  <c r="E677"/>
  <c r="E510"/>
  <c r="D1179"/>
  <c r="E344"/>
  <c r="E178"/>
  <c r="E678"/>
  <c r="E511"/>
  <c r="E679"/>
  <c r="E512"/>
  <c r="D1181"/>
  <c r="E346" s="1"/>
  <c r="E180"/>
  <c r="E680"/>
  <c r="E513"/>
  <c r="E181"/>
  <c r="E681"/>
  <c r="E514"/>
  <c r="D1183"/>
  <c r="E348" s="1"/>
  <c r="E182"/>
  <c r="E682"/>
  <c r="E515"/>
  <c r="E183"/>
  <c r="E683"/>
  <c r="E516"/>
  <c r="D1185"/>
  <c r="E350" s="1"/>
  <c r="E184"/>
  <c r="E684"/>
  <c r="E517"/>
  <c r="E1018"/>
  <c r="E1185" s="1"/>
  <c r="F350" s="1"/>
  <c r="E22" i="33"/>
  <c r="E23"/>
  <c r="E24"/>
  <c r="E25"/>
  <c r="D113"/>
  <c r="E41" s="1"/>
  <c r="E26"/>
  <c r="E27"/>
  <c r="E97" s="1"/>
  <c r="E28"/>
  <c r="D116"/>
  <c r="E44" s="1"/>
  <c r="E29"/>
  <c r="E30"/>
  <c r="E31"/>
  <c r="D119"/>
  <c r="E47" s="1"/>
  <c r="E101"/>
  <c r="E32"/>
  <c r="E33"/>
  <c r="D121"/>
  <c r="E49" s="1"/>
  <c r="E103"/>
  <c r="E34"/>
  <c r="F75" i="2"/>
  <c r="F27" i="35"/>
  <c r="F39"/>
  <c r="F7"/>
  <c r="F12" s="1"/>
  <c r="E23" i="31"/>
  <c r="E24"/>
  <c r="E25"/>
  <c r="E27"/>
  <c r="E28"/>
  <c r="E29"/>
  <c r="E31"/>
  <c r="E32"/>
  <c r="E33"/>
  <c r="E34"/>
  <c r="E35"/>
  <c r="E24" i="32"/>
  <c r="E25"/>
  <c r="E26"/>
  <c r="E27"/>
  <c r="E29"/>
  <c r="E30"/>
  <c r="E31"/>
  <c r="E33"/>
  <c r="E34"/>
  <c r="E35"/>
  <c r="E38"/>
  <c r="E39"/>
  <c r="E40"/>
  <c r="E42"/>
  <c r="E43"/>
  <c r="F43" s="1"/>
  <c r="E44"/>
  <c r="E45"/>
  <c r="E46"/>
  <c r="E47"/>
  <c r="E48"/>
  <c r="E50"/>
  <c r="E51"/>
  <c r="E52"/>
  <c r="E53"/>
  <c r="E54"/>
  <c r="E55"/>
  <c r="E56"/>
  <c r="E57"/>
  <c r="E58"/>
  <c r="E59"/>
  <c r="E60"/>
  <c r="E61"/>
  <c r="E62"/>
  <c r="E63"/>
  <c r="E64"/>
  <c r="E65"/>
  <c r="E66"/>
  <c r="E67"/>
  <c r="E68"/>
  <c r="E69"/>
  <c r="E70"/>
  <c r="E71"/>
  <c r="E73"/>
  <c r="E74"/>
  <c r="E75"/>
  <c r="E76"/>
  <c r="E77"/>
  <c r="E78"/>
  <c r="E79"/>
  <c r="E80"/>
  <c r="E81"/>
  <c r="E82"/>
  <c r="E83"/>
  <c r="E85"/>
  <c r="E86"/>
  <c r="E87"/>
  <c r="E89"/>
  <c r="E90"/>
  <c r="E91"/>
  <c r="E92"/>
  <c r="E94"/>
  <c r="E95"/>
  <c r="E96"/>
  <c r="E97"/>
  <c r="E98"/>
  <c r="E99"/>
  <c r="E100"/>
  <c r="E101"/>
  <c r="E102"/>
  <c r="E103"/>
  <c r="E104"/>
  <c r="E105"/>
  <c r="E106"/>
  <c r="E107"/>
  <c r="E109"/>
  <c r="E110"/>
  <c r="E111"/>
  <c r="E112"/>
  <c r="E114"/>
  <c r="E115"/>
  <c r="E117"/>
  <c r="E118"/>
  <c r="E119"/>
  <c r="E120"/>
  <c r="E121"/>
  <c r="E123"/>
  <c r="E124"/>
  <c r="E126"/>
  <c r="E127"/>
  <c r="F127" s="1"/>
  <c r="E128"/>
  <c r="E129"/>
  <c r="E131"/>
  <c r="E133"/>
  <c r="F133" s="1"/>
  <c r="E134"/>
  <c r="E135"/>
  <c r="E138"/>
  <c r="E139"/>
  <c r="F139" s="1"/>
  <c r="E141"/>
  <c r="E142"/>
  <c r="E143"/>
  <c r="E144"/>
  <c r="E145"/>
  <c r="F145" s="1"/>
  <c r="E146"/>
  <c r="E147"/>
  <c r="E148"/>
  <c r="E149"/>
  <c r="E150"/>
  <c r="E151"/>
  <c r="E153"/>
  <c r="E154"/>
  <c r="E155"/>
  <c r="E156"/>
  <c r="E157"/>
  <c r="E158"/>
  <c r="E159"/>
  <c r="E160"/>
  <c r="E161"/>
  <c r="E162"/>
  <c r="E163"/>
  <c r="E164"/>
  <c r="E165"/>
  <c r="E166"/>
  <c r="E167"/>
  <c r="F167" s="1"/>
  <c r="E168"/>
  <c r="E169"/>
  <c r="E171"/>
  <c r="E172"/>
  <c r="E173"/>
  <c r="E174"/>
  <c r="E175"/>
  <c r="E176"/>
  <c r="E177"/>
  <c r="E178"/>
  <c r="E179"/>
  <c r="E180"/>
  <c r="E181"/>
  <c r="E182"/>
  <c r="E183"/>
  <c r="E184"/>
  <c r="E185"/>
  <c r="E186"/>
  <c r="F668"/>
  <c r="F669"/>
  <c r="F523"/>
  <c r="F524"/>
  <c r="F525"/>
  <c r="F526"/>
  <c r="F527"/>
  <c r="F528"/>
  <c r="F529"/>
  <c r="F530"/>
  <c r="F531"/>
  <c r="F532"/>
  <c r="F533"/>
  <c r="F534"/>
  <c r="F535"/>
  <c r="F536"/>
  <c r="F537"/>
  <c r="F538"/>
  <c r="F539"/>
  <c r="F540"/>
  <c r="F541"/>
  <c r="F542"/>
  <c r="F543"/>
  <c r="F544"/>
  <c r="F545"/>
  <c r="F546"/>
  <c r="F547"/>
  <c r="F548"/>
  <c r="F549"/>
  <c r="F550"/>
  <c r="F551"/>
  <c r="F552"/>
  <c r="F553"/>
  <c r="F554"/>
  <c r="F555"/>
  <c r="F556"/>
  <c r="F557"/>
  <c r="F558"/>
  <c r="F559"/>
  <c r="F560"/>
  <c r="F561"/>
  <c r="F562"/>
  <c r="F563"/>
  <c r="F564"/>
  <c r="F565"/>
  <c r="F566"/>
  <c r="F567"/>
  <c r="F568"/>
  <c r="F569"/>
  <c r="F570"/>
  <c r="F571"/>
  <c r="F572"/>
  <c r="F573"/>
  <c r="F574"/>
  <c r="F575"/>
  <c r="F576"/>
  <c r="F577"/>
  <c r="F578"/>
  <c r="F579"/>
  <c r="F580"/>
  <c r="F581"/>
  <c r="F582"/>
  <c r="F583"/>
  <c r="F584"/>
  <c r="F585"/>
  <c r="F586"/>
  <c r="F587"/>
  <c r="F588"/>
  <c r="F589"/>
  <c r="F590"/>
  <c r="F591"/>
  <c r="F592"/>
  <c r="F593"/>
  <c r="F594"/>
  <c r="F595"/>
  <c r="F596"/>
  <c r="F597"/>
  <c r="F598"/>
  <c r="F599"/>
  <c r="F600"/>
  <c r="F601"/>
  <c r="F602"/>
  <c r="F603"/>
  <c r="F604"/>
  <c r="F605"/>
  <c r="F606"/>
  <c r="F607"/>
  <c r="F608"/>
  <c r="F609"/>
  <c r="F610"/>
  <c r="F611"/>
  <c r="F612"/>
  <c r="F613"/>
  <c r="F614"/>
  <c r="F615"/>
  <c r="F616"/>
  <c r="F617"/>
  <c r="F618"/>
  <c r="F619"/>
  <c r="F620"/>
  <c r="F621"/>
  <c r="F622"/>
  <c r="F623"/>
  <c r="F624"/>
  <c r="F625"/>
  <c r="F626"/>
  <c r="F627"/>
  <c r="F628"/>
  <c r="F629"/>
  <c r="F630"/>
  <c r="F631"/>
  <c r="F632"/>
  <c r="F633"/>
  <c r="F634"/>
  <c r="F635"/>
  <c r="F636"/>
  <c r="F637"/>
  <c r="F638"/>
  <c r="F639"/>
  <c r="F640"/>
  <c r="F641"/>
  <c r="F642"/>
  <c r="F643"/>
  <c r="F644"/>
  <c r="F645"/>
  <c r="F646"/>
  <c r="F647"/>
  <c r="F648"/>
  <c r="F649"/>
  <c r="F650"/>
  <c r="F651"/>
  <c r="F652"/>
  <c r="F653"/>
  <c r="F654"/>
  <c r="F655"/>
  <c r="F656"/>
  <c r="F657"/>
  <c r="F658"/>
  <c r="F659"/>
  <c r="F660"/>
  <c r="F661"/>
  <c r="F662"/>
  <c r="F663"/>
  <c r="F664"/>
  <c r="F665"/>
  <c r="F666"/>
  <c r="F667"/>
  <c r="F670"/>
  <c r="F671"/>
  <c r="F672"/>
  <c r="F673"/>
  <c r="F674"/>
  <c r="F675"/>
  <c r="F676"/>
  <c r="F677"/>
  <c r="F678"/>
  <c r="F679"/>
  <c r="F680"/>
  <c r="F681"/>
  <c r="F682"/>
  <c r="F683"/>
  <c r="F684"/>
  <c r="F685"/>
  <c r="F686"/>
  <c r="G24" i="35"/>
  <c r="G36"/>
  <c r="F521" i="34"/>
  <c r="F354"/>
  <c r="F22"/>
  <c r="F522"/>
  <c r="F355"/>
  <c r="G6" i="30"/>
  <c r="F23" i="34"/>
  <c r="F523"/>
  <c r="F356"/>
  <c r="F24"/>
  <c r="F524"/>
  <c r="F357"/>
  <c r="F25"/>
  <c r="F525"/>
  <c r="F358"/>
  <c r="F526"/>
  <c r="F359"/>
  <c r="F527"/>
  <c r="F360"/>
  <c r="G11" i="30"/>
  <c r="F28" i="34"/>
  <c r="F528"/>
  <c r="F361"/>
  <c r="F29"/>
  <c r="F529"/>
  <c r="F362"/>
  <c r="F530"/>
  <c r="F363"/>
  <c r="G14" i="30"/>
  <c r="F31" i="34"/>
  <c r="E1032"/>
  <c r="F197"/>
  <c r="F531"/>
  <c r="F364"/>
  <c r="F32"/>
  <c r="F532"/>
  <c r="F365"/>
  <c r="F33"/>
  <c r="F533"/>
  <c r="F366"/>
  <c r="F534"/>
  <c r="F367"/>
  <c r="G18" i="30"/>
  <c r="E1036" i="34"/>
  <c r="F201"/>
  <c r="F535"/>
  <c r="F368"/>
  <c r="F36"/>
  <c r="F536"/>
  <c r="F369"/>
  <c r="F37"/>
  <c r="F537"/>
  <c r="F871" s="1"/>
  <c r="F1038" s="1"/>
  <c r="G203" s="1"/>
  <c r="F370"/>
  <c r="F38"/>
  <c r="F538"/>
  <c r="F371"/>
  <c r="G22" i="30"/>
  <c r="F39" i="34"/>
  <c r="E1040"/>
  <c r="F205" s="1"/>
  <c r="F539"/>
  <c r="F372"/>
  <c r="F40"/>
  <c r="E1041"/>
  <c r="F206"/>
  <c r="F540"/>
  <c r="F373"/>
  <c r="F41"/>
  <c r="F541"/>
  <c r="F374"/>
  <c r="F42"/>
  <c r="F542"/>
  <c r="F375"/>
  <c r="G26" i="30"/>
  <c r="F543" i="34"/>
  <c r="F376"/>
  <c r="G27" i="30"/>
  <c r="F44" i="34"/>
  <c r="F544"/>
  <c r="F377"/>
  <c r="F45"/>
  <c r="F545"/>
  <c r="F378"/>
  <c r="F46"/>
  <c r="F546"/>
  <c r="F379"/>
  <c r="G30" i="30"/>
  <c r="F47" i="34"/>
  <c r="F547"/>
  <c r="F380"/>
  <c r="F48"/>
  <c r="F548"/>
  <c r="F381"/>
  <c r="F49"/>
  <c r="F549"/>
  <c r="F382"/>
  <c r="G33" i="30"/>
  <c r="F50" i="34"/>
  <c r="F550"/>
  <c r="F383"/>
  <c r="F51"/>
  <c r="F551"/>
  <c r="F384"/>
  <c r="F52"/>
  <c r="F552"/>
  <c r="F385"/>
  <c r="G36" i="30"/>
  <c r="F55" i="32" s="1"/>
  <c r="F53" i="34"/>
  <c r="F553"/>
  <c r="F386"/>
  <c r="F54"/>
  <c r="F554"/>
  <c r="F387"/>
  <c r="F55"/>
  <c r="F555"/>
  <c r="F388"/>
  <c r="G39" i="30"/>
  <c r="F56" i="34"/>
  <c r="F556"/>
  <c r="F389"/>
  <c r="F557"/>
  <c r="F390"/>
  <c r="F58"/>
  <c r="F558"/>
  <c r="F391"/>
  <c r="F59"/>
  <c r="F559"/>
  <c r="F392"/>
  <c r="G43" i="30"/>
  <c r="F60" i="34"/>
  <c r="F560"/>
  <c r="F393"/>
  <c r="F61"/>
  <c r="E1062"/>
  <c r="F227"/>
  <c r="F561"/>
  <c r="F895" s="1"/>
  <c r="F1062" s="1"/>
  <c r="G227" s="1"/>
  <c r="F394"/>
  <c r="F62"/>
  <c r="F562"/>
  <c r="F395"/>
  <c r="G46" i="30"/>
  <c r="F63" i="34"/>
  <c r="F563"/>
  <c r="F396"/>
  <c r="F64"/>
  <c r="F564"/>
  <c r="F397"/>
  <c r="F65"/>
  <c r="F565"/>
  <c r="F398"/>
  <c r="F566"/>
  <c r="F399"/>
  <c r="F67"/>
  <c r="F567"/>
  <c r="F400"/>
  <c r="F568"/>
  <c r="F401"/>
  <c r="G52" i="30"/>
  <c r="F69" i="34"/>
  <c r="F569"/>
  <c r="F402"/>
  <c r="F70"/>
  <c r="F570"/>
  <c r="F403"/>
  <c r="F71"/>
  <c r="F571"/>
  <c r="F404"/>
  <c r="G55" i="30"/>
  <c r="F72" i="34"/>
  <c r="F572"/>
  <c r="F405"/>
  <c r="F73"/>
  <c r="F573"/>
  <c r="F406"/>
  <c r="F74"/>
  <c r="F574"/>
  <c r="F407"/>
  <c r="F575"/>
  <c r="F408"/>
  <c r="F76"/>
  <c r="F576"/>
  <c r="F409"/>
  <c r="G60" i="30"/>
  <c r="F577" i="34"/>
  <c r="F410"/>
  <c r="F78"/>
  <c r="E1079"/>
  <c r="F244" s="1"/>
  <c r="F578"/>
  <c r="F411"/>
  <c r="F79"/>
  <c r="F579"/>
  <c r="F412"/>
  <c r="F80"/>
  <c r="F580"/>
  <c r="F413"/>
  <c r="F81"/>
  <c r="F581"/>
  <c r="F414"/>
  <c r="F582"/>
  <c r="F415"/>
  <c r="G66" i="30"/>
  <c r="F83" i="34"/>
  <c r="F583"/>
  <c r="F416"/>
  <c r="F84"/>
  <c r="F584"/>
  <c r="F417"/>
  <c r="F85"/>
  <c r="F585"/>
  <c r="F418"/>
  <c r="F86"/>
  <c r="F252"/>
  <c r="F586"/>
  <c r="F419"/>
  <c r="F587"/>
  <c r="F420"/>
  <c r="G71" i="30"/>
  <c r="F88" i="34"/>
  <c r="F588"/>
  <c r="F421"/>
  <c r="F89"/>
  <c r="F589"/>
  <c r="F422"/>
  <c r="F90"/>
  <c r="E1091"/>
  <c r="F256"/>
  <c r="F590"/>
  <c r="F423"/>
  <c r="F91"/>
  <c r="F591"/>
  <c r="F424"/>
  <c r="F592"/>
  <c r="F425"/>
  <c r="G76" i="30"/>
  <c r="F593" i="34"/>
  <c r="F426"/>
  <c r="F94"/>
  <c r="F594"/>
  <c r="F427"/>
  <c r="F95"/>
  <c r="F595"/>
  <c r="F428"/>
  <c r="F96"/>
  <c r="F262"/>
  <c r="F930" s="1"/>
  <c r="F596"/>
  <c r="F429"/>
  <c r="F97"/>
  <c r="F597"/>
  <c r="F430"/>
  <c r="G81" i="30"/>
  <c r="F98" i="34" s="1"/>
  <c r="F598"/>
  <c r="F431"/>
  <c r="F99"/>
  <c r="F599"/>
  <c r="F432"/>
  <c r="F100"/>
  <c r="E1101"/>
  <c r="F266" s="1"/>
  <c r="F600"/>
  <c r="F433"/>
  <c r="F101"/>
  <c r="F601"/>
  <c r="F434"/>
  <c r="F102"/>
  <c r="F602"/>
  <c r="F435"/>
  <c r="F103"/>
  <c r="F603"/>
  <c r="F436"/>
  <c r="F104"/>
  <c r="F604"/>
  <c r="F437"/>
  <c r="F105"/>
  <c r="F605"/>
  <c r="F438"/>
  <c r="F606"/>
  <c r="F439"/>
  <c r="F107"/>
  <c r="F607"/>
  <c r="F440"/>
  <c r="F108"/>
  <c r="E1109"/>
  <c r="F274" s="1"/>
  <c r="F608"/>
  <c r="F441"/>
  <c r="G92" i="30"/>
  <c r="F109" i="34"/>
  <c r="F609"/>
  <c r="F442"/>
  <c r="F110"/>
  <c r="F610"/>
  <c r="F443"/>
  <c r="F611"/>
  <c r="F444"/>
  <c r="G95" i="30"/>
  <c r="F612" i="34"/>
  <c r="F445"/>
  <c r="F113"/>
  <c r="F613"/>
  <c r="F446"/>
  <c r="F614"/>
  <c r="F447"/>
  <c r="F115"/>
  <c r="F615"/>
  <c r="F448"/>
  <c r="F116"/>
  <c r="F616"/>
  <c r="F449"/>
  <c r="F117"/>
  <c r="F617"/>
  <c r="F450"/>
  <c r="F118"/>
  <c r="F618"/>
  <c r="F451"/>
  <c r="F119"/>
  <c r="F619"/>
  <c r="F452"/>
  <c r="F620"/>
  <c r="F453"/>
  <c r="F121"/>
  <c r="F621"/>
  <c r="F454"/>
  <c r="F122"/>
  <c r="E1123"/>
  <c r="F288" s="1"/>
  <c r="F622"/>
  <c r="F455"/>
  <c r="F956"/>
  <c r="F623"/>
  <c r="F456"/>
  <c r="G107" i="30"/>
  <c r="F124" i="34"/>
  <c r="F624"/>
  <c r="F457"/>
  <c r="F125"/>
  <c r="F625"/>
  <c r="F458"/>
  <c r="F126"/>
  <c r="F292"/>
  <c r="F960" s="1"/>
  <c r="F626"/>
  <c r="F459"/>
  <c r="F127"/>
  <c r="F627"/>
  <c r="F460"/>
  <c r="F628"/>
  <c r="F461"/>
  <c r="F129"/>
  <c r="F629"/>
  <c r="F462"/>
  <c r="F630"/>
  <c r="F463"/>
  <c r="F131"/>
  <c r="F631"/>
  <c r="F464"/>
  <c r="F132"/>
  <c r="F632"/>
  <c r="F465"/>
  <c r="F133"/>
  <c r="F633"/>
  <c r="F466"/>
  <c r="F134"/>
  <c r="F634"/>
  <c r="F467"/>
  <c r="F635"/>
  <c r="F468"/>
  <c r="F136"/>
  <c r="E1137"/>
  <c r="F302" s="1"/>
  <c r="F636"/>
  <c r="F469"/>
  <c r="F137"/>
  <c r="F637"/>
  <c r="F470"/>
  <c r="F138"/>
  <c r="F638"/>
  <c r="F471"/>
  <c r="F639"/>
  <c r="F472"/>
  <c r="F140"/>
  <c r="E1141"/>
  <c r="F306" s="1"/>
  <c r="F640"/>
  <c r="F473"/>
  <c r="F141"/>
  <c r="F641"/>
  <c r="F474"/>
  <c r="G125" i="30"/>
  <c r="F142" i="34" s="1"/>
  <c r="E1143"/>
  <c r="F308" s="1"/>
  <c r="F642"/>
  <c r="F475"/>
  <c r="F143"/>
  <c r="F643"/>
  <c r="F476"/>
  <c r="F144"/>
  <c r="F644"/>
  <c r="F477"/>
  <c r="F145"/>
  <c r="F645"/>
  <c r="F478"/>
  <c r="F146"/>
  <c r="F980" s="1"/>
  <c r="F1147" s="1"/>
  <c r="G312" s="1"/>
  <c r="E1147"/>
  <c r="F312" s="1"/>
  <c r="F646"/>
  <c r="F479"/>
  <c r="F147"/>
  <c r="F647"/>
  <c r="F480"/>
  <c r="F148"/>
  <c r="F982" s="1"/>
  <c r="F1149" s="1"/>
  <c r="G314" s="1"/>
  <c r="F648"/>
  <c r="F481"/>
  <c r="F149"/>
  <c r="F649"/>
  <c r="F482"/>
  <c r="F650"/>
  <c r="F483"/>
  <c r="F151"/>
  <c r="F651"/>
  <c r="F484"/>
  <c r="F152"/>
  <c r="G152" s="1"/>
  <c r="F652"/>
  <c r="F485"/>
  <c r="G136" i="30"/>
  <c r="F153" i="34"/>
  <c r="F653"/>
  <c r="F486"/>
  <c r="F154"/>
  <c r="F654"/>
  <c r="F487"/>
  <c r="F655"/>
  <c r="F488"/>
  <c r="F156"/>
  <c r="F656"/>
  <c r="F489"/>
  <c r="F157"/>
  <c r="F657"/>
  <c r="F490"/>
  <c r="G141" i="30"/>
  <c r="F658" i="34"/>
  <c r="F491"/>
  <c r="F159"/>
  <c r="F659"/>
  <c r="F492"/>
  <c r="F660"/>
  <c r="F493"/>
  <c r="F161"/>
  <c r="F661"/>
  <c r="F494"/>
  <c r="G145" i="30"/>
  <c r="F162" i="34"/>
  <c r="F662"/>
  <c r="F495"/>
  <c r="F163"/>
  <c r="F663"/>
  <c r="F496"/>
  <c r="F164"/>
  <c r="F664"/>
  <c r="F497"/>
  <c r="F665"/>
  <c r="F498"/>
  <c r="F166"/>
  <c r="F666"/>
  <c r="F499"/>
  <c r="F167"/>
  <c r="F667"/>
  <c r="F500"/>
  <c r="F168"/>
  <c r="F668"/>
  <c r="F501"/>
  <c r="F169"/>
  <c r="F669"/>
  <c r="F502"/>
  <c r="E1171"/>
  <c r="F336" s="1"/>
  <c r="F170"/>
  <c r="F670"/>
  <c r="F503"/>
  <c r="F171"/>
  <c r="F671"/>
  <c r="F504"/>
  <c r="F172"/>
  <c r="F672"/>
  <c r="F505"/>
  <c r="F173"/>
  <c r="F673"/>
  <c r="F506"/>
  <c r="F174"/>
  <c r="F674"/>
  <c r="F507"/>
  <c r="F175"/>
  <c r="F675"/>
  <c r="F508"/>
  <c r="F176"/>
  <c r="F676"/>
  <c r="F509"/>
  <c r="F177"/>
  <c r="F677"/>
  <c r="F510"/>
  <c r="F178"/>
  <c r="F678"/>
  <c r="F511"/>
  <c r="F179"/>
  <c r="F679"/>
  <c r="F512"/>
  <c r="F180"/>
  <c r="F680"/>
  <c r="F513"/>
  <c r="F681"/>
  <c r="F514"/>
  <c r="F182"/>
  <c r="F682"/>
  <c r="F515"/>
  <c r="F183"/>
  <c r="F683"/>
  <c r="F516"/>
  <c r="F184"/>
  <c r="F684"/>
  <c r="F517"/>
  <c r="F23" i="33"/>
  <c r="F24"/>
  <c r="F25"/>
  <c r="F27"/>
  <c r="E115"/>
  <c r="F43" s="1"/>
  <c r="F28"/>
  <c r="F29"/>
  <c r="F31"/>
  <c r="F101" s="1"/>
  <c r="E119"/>
  <c r="F47" s="1"/>
  <c r="F32"/>
  <c r="F33"/>
  <c r="E121"/>
  <c r="F49" s="1"/>
  <c r="G75" i="2"/>
  <c r="G27" i="35"/>
  <c r="G39" s="1"/>
  <c r="G8"/>
  <c r="G7"/>
  <c r="F23" i="31"/>
  <c r="F24"/>
  <c r="F25"/>
  <c r="F27"/>
  <c r="F28"/>
  <c r="F29"/>
  <c r="F31"/>
  <c r="F32"/>
  <c r="F34"/>
  <c r="F35"/>
  <c r="F24" i="32"/>
  <c r="F25"/>
  <c r="F26"/>
  <c r="F27"/>
  <c r="F29"/>
  <c r="F30"/>
  <c r="F31"/>
  <c r="F33"/>
  <c r="F35"/>
  <c r="F38"/>
  <c r="F39"/>
  <c r="F40"/>
  <c r="F41"/>
  <c r="F42"/>
  <c r="F44"/>
  <c r="F46"/>
  <c r="F48"/>
  <c r="F49"/>
  <c r="F50"/>
  <c r="F51"/>
  <c r="F52"/>
  <c r="F53"/>
  <c r="F54"/>
  <c r="F56"/>
  <c r="F57"/>
  <c r="F58"/>
  <c r="F59"/>
  <c r="F60"/>
  <c r="F61"/>
  <c r="F62"/>
  <c r="F63"/>
  <c r="F64"/>
  <c r="F65"/>
  <c r="F66"/>
  <c r="F67"/>
  <c r="F68"/>
  <c r="G68" s="1"/>
  <c r="F71"/>
  <c r="F73"/>
  <c r="F74"/>
  <c r="F76"/>
  <c r="F78"/>
  <c r="F80"/>
  <c r="F81"/>
  <c r="F82"/>
  <c r="F83"/>
  <c r="F85"/>
  <c r="F87"/>
  <c r="F90"/>
  <c r="F91"/>
  <c r="F92"/>
  <c r="F94"/>
  <c r="F96"/>
  <c r="F97"/>
  <c r="F98"/>
  <c r="F100"/>
  <c r="G100" s="1"/>
  <c r="F101"/>
  <c r="F102"/>
  <c r="F104"/>
  <c r="F106"/>
  <c r="F107"/>
  <c r="F111"/>
  <c r="F112"/>
  <c r="F115"/>
  <c r="F118"/>
  <c r="F119"/>
  <c r="F120"/>
  <c r="F121"/>
  <c r="F123"/>
  <c r="F124"/>
  <c r="F126"/>
  <c r="F128"/>
  <c r="F129"/>
  <c r="F134"/>
  <c r="F135"/>
  <c r="F138"/>
  <c r="F141"/>
  <c r="F142"/>
  <c r="F143"/>
  <c r="F144"/>
  <c r="F146"/>
  <c r="F147"/>
  <c r="F148"/>
  <c r="G148" s="1"/>
  <c r="F150"/>
  <c r="F153"/>
  <c r="F154"/>
  <c r="F155"/>
  <c r="F156"/>
  <c r="F158"/>
  <c r="F159"/>
  <c r="F161"/>
  <c r="F162"/>
  <c r="F163"/>
  <c r="F164"/>
  <c r="F165"/>
  <c r="F166"/>
  <c r="F168"/>
  <c r="F169"/>
  <c r="F172"/>
  <c r="F174"/>
  <c r="F175"/>
  <c r="F176"/>
  <c r="F177"/>
  <c r="F179"/>
  <c r="F180"/>
  <c r="F181"/>
  <c r="F182"/>
  <c r="F184"/>
  <c r="G184" s="1"/>
  <c r="F185"/>
  <c r="F186"/>
  <c r="H22" i="36"/>
  <c r="G669" i="32"/>
  <c r="G523"/>
  <c r="G524"/>
  <c r="G525"/>
  <c r="G526"/>
  <c r="G527"/>
  <c r="G528"/>
  <c r="G529"/>
  <c r="G530"/>
  <c r="G531"/>
  <c r="G532"/>
  <c r="G533"/>
  <c r="G534"/>
  <c r="G535"/>
  <c r="G536"/>
  <c r="G537"/>
  <c r="G538"/>
  <c r="G539"/>
  <c r="G540"/>
  <c r="G541"/>
  <c r="G542"/>
  <c r="G543"/>
  <c r="G544"/>
  <c r="G545"/>
  <c r="G546"/>
  <c r="G547"/>
  <c r="G548"/>
  <c r="G549"/>
  <c r="G550"/>
  <c r="G551"/>
  <c r="G552"/>
  <c r="G553"/>
  <c r="G554"/>
  <c r="G555"/>
  <c r="G556"/>
  <c r="G557"/>
  <c r="G558"/>
  <c r="G559"/>
  <c r="G560"/>
  <c r="G561"/>
  <c r="G562"/>
  <c r="G563"/>
  <c r="G564"/>
  <c r="G565"/>
  <c r="G566"/>
  <c r="G567"/>
  <c r="G568"/>
  <c r="G569"/>
  <c r="G570"/>
  <c r="G571"/>
  <c r="G572"/>
  <c r="G573"/>
  <c r="G574"/>
  <c r="G575"/>
  <c r="G576"/>
  <c r="G577"/>
  <c r="G578"/>
  <c r="G579"/>
  <c r="G580"/>
  <c r="G581"/>
  <c r="G582"/>
  <c r="G583"/>
  <c r="G584"/>
  <c r="G585"/>
  <c r="G586"/>
  <c r="G587"/>
  <c r="G588"/>
  <c r="G589"/>
  <c r="G590"/>
  <c r="G591"/>
  <c r="G592"/>
  <c r="G593"/>
  <c r="G594"/>
  <c r="G595"/>
  <c r="G596"/>
  <c r="G597"/>
  <c r="G598"/>
  <c r="G599"/>
  <c r="G600"/>
  <c r="G601"/>
  <c r="G602"/>
  <c r="G603"/>
  <c r="G604"/>
  <c r="G605"/>
  <c r="G606"/>
  <c r="G607"/>
  <c r="G608"/>
  <c r="G609"/>
  <c r="G610"/>
  <c r="G611"/>
  <c r="G612"/>
  <c r="G613"/>
  <c r="G614"/>
  <c r="G615"/>
  <c r="G616"/>
  <c r="G617"/>
  <c r="G618"/>
  <c r="G619"/>
  <c r="G620"/>
  <c r="G621"/>
  <c r="G622"/>
  <c r="G623"/>
  <c r="G624"/>
  <c r="G625"/>
  <c r="G626"/>
  <c r="G627"/>
  <c r="G628"/>
  <c r="G629"/>
  <c r="G630"/>
  <c r="G631"/>
  <c r="G632"/>
  <c r="G633"/>
  <c r="G634"/>
  <c r="G635"/>
  <c r="G636"/>
  <c r="G637"/>
  <c r="G638"/>
  <c r="G639"/>
  <c r="G640"/>
  <c r="G641"/>
  <c r="G642"/>
  <c r="G643"/>
  <c r="G644"/>
  <c r="G645"/>
  <c r="G646"/>
  <c r="G647"/>
  <c r="G648"/>
  <c r="G649"/>
  <c r="G650"/>
  <c r="G651"/>
  <c r="G652"/>
  <c r="G653"/>
  <c r="G654"/>
  <c r="G655"/>
  <c r="G656"/>
  <c r="G657"/>
  <c r="G658"/>
  <c r="G659"/>
  <c r="G660"/>
  <c r="G661"/>
  <c r="G662"/>
  <c r="G663"/>
  <c r="G664"/>
  <c r="G665"/>
  <c r="G666"/>
  <c r="G667"/>
  <c r="G670"/>
  <c r="G671"/>
  <c r="G672"/>
  <c r="G673"/>
  <c r="G674"/>
  <c r="G675"/>
  <c r="G676"/>
  <c r="G677"/>
  <c r="G678"/>
  <c r="G679"/>
  <c r="G680"/>
  <c r="G681"/>
  <c r="G682"/>
  <c r="G683"/>
  <c r="G684"/>
  <c r="G685"/>
  <c r="G686"/>
  <c r="H24" i="35"/>
  <c r="H36"/>
  <c r="G521" i="34"/>
  <c r="G354"/>
  <c r="G22"/>
  <c r="G522"/>
  <c r="G355"/>
  <c r="G23"/>
  <c r="G523"/>
  <c r="G356"/>
  <c r="G24"/>
  <c r="G524"/>
  <c r="G357"/>
  <c r="G25"/>
  <c r="G525"/>
  <c r="G358"/>
  <c r="G526"/>
  <c r="G359"/>
  <c r="G527"/>
  <c r="G360"/>
  <c r="G28"/>
  <c r="G528"/>
  <c r="G361"/>
  <c r="G29"/>
  <c r="G529"/>
  <c r="G362"/>
  <c r="G530"/>
  <c r="G363"/>
  <c r="G31"/>
  <c r="G531"/>
  <c r="G364"/>
  <c r="G15" i="30"/>
  <c r="G32" i="34"/>
  <c r="G532"/>
  <c r="G365"/>
  <c r="G33"/>
  <c r="G533"/>
  <c r="G366"/>
  <c r="G534"/>
  <c r="G367"/>
  <c r="G535"/>
  <c r="G368"/>
  <c r="G19" i="30"/>
  <c r="G36" i="34"/>
  <c r="G536"/>
  <c r="G369"/>
  <c r="G37"/>
  <c r="G537"/>
  <c r="G370"/>
  <c r="G871"/>
  <c r="G38"/>
  <c r="G538"/>
  <c r="G371"/>
  <c r="G539"/>
  <c r="G372"/>
  <c r="G23" i="30"/>
  <c r="G40" i="34" s="1"/>
  <c r="G540"/>
  <c r="G373"/>
  <c r="G41"/>
  <c r="G541"/>
  <c r="G374"/>
  <c r="G42"/>
  <c r="G542"/>
  <c r="G375"/>
  <c r="G543"/>
  <c r="G376"/>
  <c r="G544"/>
  <c r="G377"/>
  <c r="G28" i="30"/>
  <c r="G45" i="34" s="1"/>
  <c r="G545"/>
  <c r="G378"/>
  <c r="G46"/>
  <c r="G546"/>
  <c r="G379"/>
  <c r="G47"/>
  <c r="G547"/>
  <c r="G380"/>
  <c r="G31" i="30"/>
  <c r="G48" i="34"/>
  <c r="G548"/>
  <c r="G381"/>
  <c r="G49"/>
  <c r="G549"/>
  <c r="G382"/>
  <c r="G50"/>
  <c r="G550"/>
  <c r="G383"/>
  <c r="G34" i="30"/>
  <c r="G551" i="34"/>
  <c r="G384"/>
  <c r="G52"/>
  <c r="G552"/>
  <c r="G385"/>
  <c r="G553"/>
  <c r="G386"/>
  <c r="G37" i="30"/>
  <c r="G54" i="34" s="1"/>
  <c r="G554"/>
  <c r="G387"/>
  <c r="G55"/>
  <c r="G555"/>
  <c r="G388"/>
  <c r="G56"/>
  <c r="G556"/>
  <c r="G389"/>
  <c r="G40" i="30"/>
  <c r="G57" i="34"/>
  <c r="G557"/>
  <c r="G390"/>
  <c r="G58"/>
  <c r="G558"/>
  <c r="G391"/>
  <c r="G59"/>
  <c r="G559"/>
  <c r="G392"/>
  <c r="G60"/>
  <c r="G560"/>
  <c r="G393"/>
  <c r="G44" i="30"/>
  <c r="G61" i="34"/>
  <c r="G561"/>
  <c r="G394"/>
  <c r="G562"/>
  <c r="G395"/>
  <c r="G563"/>
  <c r="G396"/>
  <c r="G47" i="30"/>
  <c r="G64" i="34"/>
  <c r="G564"/>
  <c r="G397"/>
  <c r="G65"/>
  <c r="G565"/>
  <c r="G398"/>
  <c r="G566"/>
  <c r="G399"/>
  <c r="G67"/>
  <c r="G567"/>
  <c r="G400"/>
  <c r="G568"/>
  <c r="G401"/>
  <c r="G69"/>
  <c r="G569"/>
  <c r="G402"/>
  <c r="G70"/>
  <c r="G570"/>
  <c r="G403"/>
  <c r="G71"/>
  <c r="G571"/>
  <c r="G404"/>
  <c r="G72"/>
  <c r="G572"/>
  <c r="G405"/>
  <c r="G56" i="30"/>
  <c r="G73" i="34"/>
  <c r="G573"/>
  <c r="G406"/>
  <c r="G74"/>
  <c r="G574"/>
  <c r="G407"/>
  <c r="G575"/>
  <c r="G408"/>
  <c r="G576"/>
  <c r="G409"/>
  <c r="G577"/>
  <c r="G410"/>
  <c r="G61" i="30"/>
  <c r="G78" i="34"/>
  <c r="G578"/>
  <c r="G411"/>
  <c r="G62" i="30"/>
  <c r="G79" i="34"/>
  <c r="G579"/>
  <c r="G412"/>
  <c r="G80"/>
  <c r="G580"/>
  <c r="G413"/>
  <c r="G81"/>
  <c r="G581"/>
  <c r="G414"/>
  <c r="G582"/>
  <c r="G415"/>
  <c r="G83"/>
  <c r="G583"/>
  <c r="G416"/>
  <c r="G67" i="30"/>
  <c r="G86" i="32" s="1"/>
  <c r="G584" i="34"/>
  <c r="G417"/>
  <c r="G85"/>
  <c r="G585"/>
  <c r="G418"/>
  <c r="G86"/>
  <c r="G586"/>
  <c r="G419"/>
  <c r="G587"/>
  <c r="G420"/>
  <c r="G88"/>
  <c r="G588"/>
  <c r="G421"/>
  <c r="G589"/>
  <c r="G422"/>
  <c r="G90"/>
  <c r="G590"/>
  <c r="G423"/>
  <c r="G91"/>
  <c r="G591"/>
  <c r="G424"/>
  <c r="G92"/>
  <c r="F1093"/>
  <c r="G258" s="1"/>
  <c r="G592"/>
  <c r="G425"/>
  <c r="G593"/>
  <c r="G426"/>
  <c r="G77" i="30"/>
  <c r="G594" i="34"/>
  <c r="G427"/>
  <c r="G95"/>
  <c r="G595"/>
  <c r="G428"/>
  <c r="G79" i="30"/>
  <c r="G96" i="34"/>
  <c r="G596"/>
  <c r="G429"/>
  <c r="G97"/>
  <c r="G597"/>
  <c r="G430"/>
  <c r="G598"/>
  <c r="G431"/>
  <c r="G82" i="30"/>
  <c r="G99" i="34" s="1"/>
  <c r="G599"/>
  <c r="G432"/>
  <c r="G100"/>
  <c r="G600"/>
  <c r="G433"/>
  <c r="G518" s="1"/>
  <c r="G10" s="1"/>
  <c r="G84" i="30"/>
  <c r="G101" i="34" s="1"/>
  <c r="G601"/>
  <c r="G434"/>
  <c r="G102"/>
  <c r="G602"/>
  <c r="G435"/>
  <c r="G103"/>
  <c r="G603"/>
  <c r="G436"/>
  <c r="G104"/>
  <c r="G604"/>
  <c r="G437"/>
  <c r="G105"/>
  <c r="G605"/>
  <c r="G438"/>
  <c r="G606"/>
  <c r="G439"/>
  <c r="G107"/>
  <c r="G607"/>
  <c r="G440"/>
  <c r="G108"/>
  <c r="G608"/>
  <c r="G441"/>
  <c r="G109"/>
  <c r="G609"/>
  <c r="G442"/>
  <c r="G110"/>
  <c r="G610"/>
  <c r="G443"/>
  <c r="G611"/>
  <c r="G444"/>
  <c r="G612"/>
  <c r="G445"/>
  <c r="G113"/>
  <c r="G613"/>
  <c r="G446"/>
  <c r="G614"/>
  <c r="G447"/>
  <c r="G98" i="30"/>
  <c r="G615" i="34"/>
  <c r="G448"/>
  <c r="G116"/>
  <c r="G616"/>
  <c r="G449"/>
  <c r="G117"/>
  <c r="G617"/>
  <c r="G450"/>
  <c r="G118"/>
  <c r="F1119"/>
  <c r="G284" s="1"/>
  <c r="G618"/>
  <c r="G451"/>
  <c r="G119"/>
  <c r="G619"/>
  <c r="G452"/>
  <c r="G620"/>
  <c r="G453"/>
  <c r="G121"/>
  <c r="G621"/>
  <c r="G454"/>
  <c r="G122"/>
  <c r="F1123"/>
  <c r="G288"/>
  <c r="G622"/>
  <c r="G455"/>
  <c r="G623"/>
  <c r="G456"/>
  <c r="G624"/>
  <c r="G457"/>
  <c r="G108" i="30"/>
  <c r="G125" i="34"/>
  <c r="G625"/>
  <c r="G458"/>
  <c r="G126"/>
  <c r="F1127"/>
  <c r="G292" s="1"/>
  <c r="G626"/>
  <c r="G459"/>
  <c r="G127"/>
  <c r="G627"/>
  <c r="G460"/>
  <c r="G628"/>
  <c r="G461"/>
  <c r="G129"/>
  <c r="G629"/>
  <c r="G462"/>
  <c r="G630"/>
  <c r="G463"/>
  <c r="G131"/>
  <c r="G631"/>
  <c r="G464"/>
  <c r="G132"/>
  <c r="G632"/>
  <c r="G465"/>
  <c r="G633"/>
  <c r="G466"/>
  <c r="G134"/>
  <c r="G634"/>
  <c r="G467"/>
  <c r="G635"/>
  <c r="G468"/>
  <c r="G636"/>
  <c r="G469"/>
  <c r="G137"/>
  <c r="G637"/>
  <c r="G470"/>
  <c r="G138"/>
  <c r="G638"/>
  <c r="G471"/>
  <c r="G639"/>
  <c r="G472"/>
  <c r="G640"/>
  <c r="G473"/>
  <c r="G141"/>
  <c r="G641"/>
  <c r="G474"/>
  <c r="G642"/>
  <c r="G475"/>
  <c r="G126" i="30"/>
  <c r="G143" i="34"/>
  <c r="G643"/>
  <c r="G476"/>
  <c r="G644"/>
  <c r="G477"/>
  <c r="G145"/>
  <c r="G645"/>
  <c r="G478"/>
  <c r="G146"/>
  <c r="G980" s="1"/>
  <c r="G646"/>
  <c r="G479"/>
  <c r="G147"/>
  <c r="G647"/>
  <c r="G480"/>
  <c r="G148"/>
  <c r="G648"/>
  <c r="G481"/>
  <c r="G982"/>
  <c r="G149"/>
  <c r="G649"/>
  <c r="G482"/>
  <c r="G650"/>
  <c r="G483"/>
  <c r="G151"/>
  <c r="G651"/>
  <c r="G484"/>
  <c r="G652"/>
  <c r="G485"/>
  <c r="G653"/>
  <c r="G486"/>
  <c r="G154"/>
  <c r="G654"/>
  <c r="G487"/>
  <c r="G655"/>
  <c r="G488"/>
  <c r="G156"/>
  <c r="G656"/>
  <c r="G489"/>
  <c r="G657"/>
  <c r="G490"/>
  <c r="G658"/>
  <c r="G491"/>
  <c r="G159"/>
  <c r="G659"/>
  <c r="G492"/>
  <c r="G660"/>
  <c r="G493"/>
  <c r="G161"/>
  <c r="G661"/>
  <c r="G494"/>
  <c r="G162"/>
  <c r="G662"/>
  <c r="G495"/>
  <c r="G146" i="30"/>
  <c r="G663" i="34"/>
  <c r="G496"/>
  <c r="G164"/>
  <c r="G664"/>
  <c r="G497"/>
  <c r="G665"/>
  <c r="G498"/>
  <c r="G499"/>
  <c r="G167"/>
  <c r="G667"/>
  <c r="G500"/>
  <c r="G668"/>
  <c r="G501"/>
  <c r="G169"/>
  <c r="G669"/>
  <c r="G502"/>
  <c r="G170"/>
  <c r="G670"/>
  <c r="G503"/>
  <c r="G671"/>
  <c r="G504"/>
  <c r="G672"/>
  <c r="G505"/>
  <c r="G173"/>
  <c r="G673"/>
  <c r="G506"/>
  <c r="G174"/>
  <c r="G674"/>
  <c r="G507"/>
  <c r="G675"/>
  <c r="G508"/>
  <c r="G676"/>
  <c r="G509"/>
  <c r="G177"/>
  <c r="G677"/>
  <c r="G510"/>
  <c r="G178"/>
  <c r="G678"/>
  <c r="G511"/>
  <c r="G679"/>
  <c r="G512"/>
  <c r="G680"/>
  <c r="G513"/>
  <c r="G681"/>
  <c r="G514"/>
  <c r="G182"/>
  <c r="G682"/>
  <c r="G515"/>
  <c r="G183"/>
  <c r="G683"/>
  <c r="G516"/>
  <c r="G684"/>
  <c r="G517"/>
  <c r="G23" i="33"/>
  <c r="G24"/>
  <c r="H24" s="1"/>
  <c r="G27"/>
  <c r="G28"/>
  <c r="G31"/>
  <c r="F119"/>
  <c r="G47" s="1"/>
  <c r="G101"/>
  <c r="G32"/>
  <c r="G33"/>
  <c r="H75" i="2"/>
  <c r="H27" i="35"/>
  <c r="H39"/>
  <c r="G23" i="31"/>
  <c r="G24"/>
  <c r="G25"/>
  <c r="G27"/>
  <c r="G29"/>
  <c r="G31"/>
  <c r="G34"/>
  <c r="G35"/>
  <c r="G24" i="32"/>
  <c r="G25"/>
  <c r="G27"/>
  <c r="G29"/>
  <c r="G30"/>
  <c r="G31"/>
  <c r="G33"/>
  <c r="G34"/>
  <c r="G35"/>
  <c r="G38"/>
  <c r="G39"/>
  <c r="G40"/>
  <c r="G41"/>
  <c r="G42"/>
  <c r="G43"/>
  <c r="G46"/>
  <c r="G47"/>
  <c r="G49"/>
  <c r="G50"/>
  <c r="G51"/>
  <c r="G52"/>
  <c r="G55"/>
  <c r="G56"/>
  <c r="G57"/>
  <c r="G58"/>
  <c r="G59"/>
  <c r="G60"/>
  <c r="G61"/>
  <c r="G63"/>
  <c r="G65"/>
  <c r="G66"/>
  <c r="G67"/>
  <c r="G71"/>
  <c r="G73"/>
  <c r="G74"/>
  <c r="G75"/>
  <c r="G76"/>
  <c r="G78"/>
  <c r="G80"/>
  <c r="G81"/>
  <c r="G82"/>
  <c r="G83"/>
  <c r="G85"/>
  <c r="G87"/>
  <c r="G90"/>
  <c r="G91"/>
  <c r="G92"/>
  <c r="G97"/>
  <c r="G98"/>
  <c r="G101"/>
  <c r="G102"/>
  <c r="G103"/>
  <c r="G107"/>
  <c r="G111"/>
  <c r="G112"/>
  <c r="G115"/>
  <c r="G118"/>
  <c r="G119"/>
  <c r="G121"/>
  <c r="G123"/>
  <c r="G124"/>
  <c r="G127"/>
  <c r="G128"/>
  <c r="G129"/>
  <c r="G133"/>
  <c r="G134"/>
  <c r="G135"/>
  <c r="G139"/>
  <c r="G141"/>
  <c r="G142"/>
  <c r="G143"/>
  <c r="G144"/>
  <c r="G145"/>
  <c r="G146"/>
  <c r="G147"/>
  <c r="G150"/>
  <c r="G153"/>
  <c r="G155"/>
  <c r="G156"/>
  <c r="G158"/>
  <c r="G159"/>
  <c r="G161"/>
  <c r="G163"/>
  <c r="G166"/>
  <c r="G167"/>
  <c r="G169"/>
  <c r="G172"/>
  <c r="G175"/>
  <c r="G176"/>
  <c r="G177"/>
  <c r="G179"/>
  <c r="G180"/>
  <c r="G181"/>
  <c r="G185"/>
  <c r="G186"/>
  <c r="I22" i="36"/>
  <c r="H668" i="32"/>
  <c r="H523"/>
  <c r="H524"/>
  <c r="H525"/>
  <c r="H526"/>
  <c r="H527"/>
  <c r="H528"/>
  <c r="H529"/>
  <c r="H530"/>
  <c r="H531"/>
  <c r="H532"/>
  <c r="H533"/>
  <c r="H534"/>
  <c r="H535"/>
  <c r="H536"/>
  <c r="H537"/>
  <c r="H538"/>
  <c r="H539"/>
  <c r="H540"/>
  <c r="H541"/>
  <c r="H542"/>
  <c r="H543"/>
  <c r="H544"/>
  <c r="H545"/>
  <c r="H546"/>
  <c r="H547"/>
  <c r="H548"/>
  <c r="H549"/>
  <c r="H550"/>
  <c r="H551"/>
  <c r="H552"/>
  <c r="H553"/>
  <c r="H554"/>
  <c r="H555"/>
  <c r="H556"/>
  <c r="H557"/>
  <c r="H558"/>
  <c r="H559"/>
  <c r="H560"/>
  <c r="H561"/>
  <c r="H562"/>
  <c r="H563"/>
  <c r="H564"/>
  <c r="H565"/>
  <c r="H566"/>
  <c r="H567"/>
  <c r="H568"/>
  <c r="H569"/>
  <c r="H570"/>
  <c r="H571"/>
  <c r="H572"/>
  <c r="H573"/>
  <c r="H574"/>
  <c r="H575"/>
  <c r="H576"/>
  <c r="H577"/>
  <c r="H578"/>
  <c r="H579"/>
  <c r="H580"/>
  <c r="H581"/>
  <c r="H582"/>
  <c r="H583"/>
  <c r="H584"/>
  <c r="H585"/>
  <c r="H586"/>
  <c r="H587"/>
  <c r="H588"/>
  <c r="H589"/>
  <c r="H590"/>
  <c r="H591"/>
  <c r="H592"/>
  <c r="H593"/>
  <c r="H594"/>
  <c r="H595"/>
  <c r="H596"/>
  <c r="H597"/>
  <c r="H598"/>
  <c r="H599"/>
  <c r="H600"/>
  <c r="H601"/>
  <c r="H602"/>
  <c r="H603"/>
  <c r="H604"/>
  <c r="H605"/>
  <c r="H606"/>
  <c r="H607"/>
  <c r="H608"/>
  <c r="H609"/>
  <c r="H610"/>
  <c r="H611"/>
  <c r="H612"/>
  <c r="H613"/>
  <c r="H614"/>
  <c r="H615"/>
  <c r="H616"/>
  <c r="H617"/>
  <c r="H618"/>
  <c r="H619"/>
  <c r="H620"/>
  <c r="H621"/>
  <c r="H622"/>
  <c r="H623"/>
  <c r="H624"/>
  <c r="H625"/>
  <c r="H626"/>
  <c r="H627"/>
  <c r="H628"/>
  <c r="H629"/>
  <c r="H630"/>
  <c r="H631"/>
  <c r="H632"/>
  <c r="H633"/>
  <c r="H634"/>
  <c r="H635"/>
  <c r="H636"/>
  <c r="H637"/>
  <c r="H638"/>
  <c r="H639"/>
  <c r="H640"/>
  <c r="H641"/>
  <c r="H642"/>
  <c r="H643"/>
  <c r="H644"/>
  <c r="H645"/>
  <c r="H646"/>
  <c r="H647"/>
  <c r="H648"/>
  <c r="H649"/>
  <c r="H650"/>
  <c r="H651"/>
  <c r="H652"/>
  <c r="H653"/>
  <c r="H654"/>
  <c r="H655"/>
  <c r="H656"/>
  <c r="H657"/>
  <c r="H658"/>
  <c r="H659"/>
  <c r="H660"/>
  <c r="H661"/>
  <c r="H662"/>
  <c r="H663"/>
  <c r="H664"/>
  <c r="H665"/>
  <c r="H666"/>
  <c r="H667"/>
  <c r="H670"/>
  <c r="H671"/>
  <c r="H672"/>
  <c r="H673"/>
  <c r="H674"/>
  <c r="H675"/>
  <c r="H676"/>
  <c r="H677"/>
  <c r="H678"/>
  <c r="H679"/>
  <c r="H680"/>
  <c r="H681"/>
  <c r="H682"/>
  <c r="H683"/>
  <c r="H684"/>
  <c r="H685"/>
  <c r="H686"/>
  <c r="I24" i="35"/>
  <c r="I36"/>
  <c r="H521" i="34"/>
  <c r="H354"/>
  <c r="H22"/>
  <c r="H522"/>
  <c r="H355"/>
  <c r="H23"/>
  <c r="H523"/>
  <c r="H356"/>
  <c r="H24"/>
  <c r="H524"/>
  <c r="H357"/>
  <c r="H25"/>
  <c r="H525"/>
  <c r="H358"/>
  <c r="H526"/>
  <c r="H359"/>
  <c r="H527"/>
  <c r="H360"/>
  <c r="H28"/>
  <c r="H528"/>
  <c r="H361"/>
  <c r="H29"/>
  <c r="H529"/>
  <c r="H362"/>
  <c r="H530"/>
  <c r="H363"/>
  <c r="H31"/>
  <c r="H531"/>
  <c r="H364"/>
  <c r="H32"/>
  <c r="H532"/>
  <c r="H365"/>
  <c r="G16" i="30"/>
  <c r="H33" i="34" s="1"/>
  <c r="H533"/>
  <c r="H366"/>
  <c r="H534"/>
  <c r="H367"/>
  <c r="H535"/>
  <c r="H368"/>
  <c r="H36"/>
  <c r="H536"/>
  <c r="H369"/>
  <c r="G20" i="30"/>
  <c r="H39" i="32" s="1"/>
  <c r="H37" i="34"/>
  <c r="H537"/>
  <c r="H370"/>
  <c r="H38"/>
  <c r="H538"/>
  <c r="H371"/>
  <c r="H539"/>
  <c r="H372"/>
  <c r="H40"/>
  <c r="H540"/>
  <c r="H373"/>
  <c r="G24" i="30"/>
  <c r="H41" i="34" s="1"/>
  <c r="H541"/>
  <c r="H374"/>
  <c r="H42"/>
  <c r="H542"/>
  <c r="H375"/>
  <c r="H543"/>
  <c r="H376"/>
  <c r="H544"/>
  <c r="H377"/>
  <c r="H545"/>
  <c r="H378"/>
  <c r="G29" i="30"/>
  <c r="H46" i="34" s="1"/>
  <c r="H546"/>
  <c r="H379"/>
  <c r="H47"/>
  <c r="H547"/>
  <c r="H380"/>
  <c r="H548"/>
  <c r="H381"/>
  <c r="G32" i="30"/>
  <c r="H549" i="34"/>
  <c r="H382"/>
  <c r="H50"/>
  <c r="H550"/>
  <c r="H383"/>
  <c r="H551"/>
  <c r="H384"/>
  <c r="G35" i="30"/>
  <c r="H52" i="34"/>
  <c r="H552"/>
  <c r="H385"/>
  <c r="H553"/>
  <c r="H386"/>
  <c r="H54"/>
  <c r="H554"/>
  <c r="H387"/>
  <c r="G38" i="30"/>
  <c r="H55" i="34" s="1"/>
  <c r="H555"/>
  <c r="H388"/>
  <c r="H56"/>
  <c r="H556"/>
  <c r="H389"/>
  <c r="H57"/>
  <c r="H557"/>
  <c r="H390"/>
  <c r="G41" i="30"/>
  <c r="H58" i="34" s="1"/>
  <c r="H558"/>
  <c r="H391"/>
  <c r="H559"/>
  <c r="H392"/>
  <c r="H60"/>
  <c r="H560"/>
  <c r="H393"/>
  <c r="H61"/>
  <c r="H561"/>
  <c r="H394"/>
  <c r="G45" i="30"/>
  <c r="H62" i="34"/>
  <c r="H562"/>
  <c r="H395"/>
  <c r="H563"/>
  <c r="H396"/>
  <c r="H564"/>
  <c r="H397"/>
  <c r="H65"/>
  <c r="H565"/>
  <c r="H398"/>
  <c r="H566"/>
  <c r="H399"/>
  <c r="H567"/>
  <c r="H400"/>
  <c r="H568"/>
  <c r="H401"/>
  <c r="H69"/>
  <c r="H569"/>
  <c r="H402"/>
  <c r="H70"/>
  <c r="H570"/>
  <c r="H403"/>
  <c r="H71"/>
  <c r="H571"/>
  <c r="H404"/>
  <c r="H72"/>
  <c r="H572"/>
  <c r="H405"/>
  <c r="H73"/>
  <c r="H573"/>
  <c r="H406"/>
  <c r="G57" i="30"/>
  <c r="H74" i="34"/>
  <c r="H574"/>
  <c r="H407"/>
  <c r="H575"/>
  <c r="H408"/>
  <c r="H576"/>
  <c r="H409"/>
  <c r="H577"/>
  <c r="H410"/>
  <c r="H78"/>
  <c r="H578"/>
  <c r="H411"/>
  <c r="H79"/>
  <c r="H579"/>
  <c r="H412"/>
  <c r="G63" i="30"/>
  <c r="H80" i="34" s="1"/>
  <c r="H580"/>
  <c r="H413"/>
  <c r="H81"/>
  <c r="H581"/>
  <c r="H414"/>
  <c r="H582"/>
  <c r="H415"/>
  <c r="H83"/>
  <c r="H583"/>
  <c r="H416"/>
  <c r="H584"/>
  <c r="H417"/>
  <c r="G68" i="30"/>
  <c r="H85" i="34"/>
  <c r="H585"/>
  <c r="H418"/>
  <c r="H86"/>
  <c r="H586"/>
  <c r="H419"/>
  <c r="H587"/>
  <c r="H420"/>
  <c r="H88"/>
  <c r="H588"/>
  <c r="H421"/>
  <c r="H589"/>
  <c r="H422"/>
  <c r="H90"/>
  <c r="H590"/>
  <c r="H423"/>
  <c r="H91"/>
  <c r="H591"/>
  <c r="H424"/>
  <c r="H92"/>
  <c r="H592"/>
  <c r="H425"/>
  <c r="H593"/>
  <c r="H426"/>
  <c r="H594"/>
  <c r="H427"/>
  <c r="G78" i="30"/>
  <c r="H95" i="34" s="1"/>
  <c r="H595"/>
  <c r="H428"/>
  <c r="H96"/>
  <c r="H596"/>
  <c r="H429"/>
  <c r="G80" i="30"/>
  <c r="H597" i="34"/>
  <c r="H430"/>
  <c r="H598"/>
  <c r="H431"/>
  <c r="H99"/>
  <c r="H599"/>
  <c r="H432"/>
  <c r="G83" i="30"/>
  <c r="H100" i="34"/>
  <c r="H600"/>
  <c r="H433"/>
  <c r="H601"/>
  <c r="H434"/>
  <c r="G85" i="30"/>
  <c r="H602" i="34"/>
  <c r="H435"/>
  <c r="H103"/>
  <c r="H603"/>
  <c r="H436"/>
  <c r="H104"/>
  <c r="H604"/>
  <c r="H437"/>
  <c r="H105"/>
  <c r="H605"/>
  <c r="H438"/>
  <c r="H606"/>
  <c r="H439"/>
  <c r="H107"/>
  <c r="H607"/>
  <c r="H440"/>
  <c r="H108"/>
  <c r="H608"/>
  <c r="H441"/>
  <c r="H109"/>
  <c r="H609"/>
  <c r="H442"/>
  <c r="H110"/>
  <c r="H610"/>
  <c r="H443"/>
  <c r="H611"/>
  <c r="H444"/>
  <c r="H612"/>
  <c r="H445"/>
  <c r="H113"/>
  <c r="H613"/>
  <c r="H446"/>
  <c r="H614"/>
  <c r="H447"/>
  <c r="H615"/>
  <c r="H448"/>
  <c r="H116"/>
  <c r="H616"/>
  <c r="H449"/>
  <c r="H117"/>
  <c r="H617"/>
  <c r="H450"/>
  <c r="H618"/>
  <c r="H451"/>
  <c r="H619"/>
  <c r="H452"/>
  <c r="H620"/>
  <c r="H453"/>
  <c r="H121"/>
  <c r="H621"/>
  <c r="H454"/>
  <c r="H622"/>
  <c r="H455"/>
  <c r="H623"/>
  <c r="H456"/>
  <c r="H624"/>
  <c r="H457"/>
  <c r="H125"/>
  <c r="H625"/>
  <c r="H458"/>
  <c r="G109" i="30"/>
  <c r="H126" i="34"/>
  <c r="H626"/>
  <c r="H459"/>
  <c r="H127"/>
  <c r="H627"/>
  <c r="H460"/>
  <c r="H628"/>
  <c r="H461"/>
  <c r="H629"/>
  <c r="H462"/>
  <c r="H630"/>
  <c r="H463"/>
  <c r="H131"/>
  <c r="H631"/>
  <c r="H464"/>
  <c r="H132"/>
  <c r="H632"/>
  <c r="H465"/>
  <c r="H633"/>
  <c r="H466"/>
  <c r="H134"/>
  <c r="H634"/>
  <c r="H467"/>
  <c r="H635"/>
  <c r="H468"/>
  <c r="H636"/>
  <c r="H469"/>
  <c r="H137"/>
  <c r="H637"/>
  <c r="H470"/>
  <c r="H138"/>
  <c r="H638"/>
  <c r="H471"/>
  <c r="H639"/>
  <c r="H472"/>
  <c r="H640"/>
  <c r="H473"/>
  <c r="H641"/>
  <c r="H474"/>
  <c r="H642"/>
  <c r="H475"/>
  <c r="H143"/>
  <c r="H643"/>
  <c r="H476"/>
  <c r="G127" i="30"/>
  <c r="H144" i="34"/>
  <c r="H644"/>
  <c r="H477"/>
  <c r="H145"/>
  <c r="H645"/>
  <c r="H478"/>
  <c r="H146"/>
  <c r="G1147"/>
  <c r="H312" s="1"/>
  <c r="H646"/>
  <c r="H479"/>
  <c r="H980"/>
  <c r="H147"/>
  <c r="H647"/>
  <c r="H480"/>
  <c r="H148"/>
  <c r="G1149"/>
  <c r="H314" s="1"/>
  <c r="H648"/>
  <c r="H481"/>
  <c r="H149"/>
  <c r="H649"/>
  <c r="H482"/>
  <c r="H650"/>
  <c r="H483"/>
  <c r="H151"/>
  <c r="H651"/>
  <c r="H484"/>
  <c r="H652"/>
  <c r="H485"/>
  <c r="H653"/>
  <c r="H486"/>
  <c r="H154"/>
  <c r="H654"/>
  <c r="H487"/>
  <c r="H655"/>
  <c r="H488"/>
  <c r="H656"/>
  <c r="H489"/>
  <c r="H657"/>
  <c r="H490"/>
  <c r="H658"/>
  <c r="H491"/>
  <c r="H659"/>
  <c r="H492"/>
  <c r="H660"/>
  <c r="H493"/>
  <c r="H161"/>
  <c r="H661"/>
  <c r="H494"/>
  <c r="H162"/>
  <c r="H662"/>
  <c r="H495"/>
  <c r="H663"/>
  <c r="H496"/>
  <c r="H164"/>
  <c r="H664"/>
  <c r="H497"/>
  <c r="H665"/>
  <c r="H498"/>
  <c r="H666"/>
  <c r="H499"/>
  <c r="H500"/>
  <c r="H668"/>
  <c r="H501"/>
  <c r="H169"/>
  <c r="H669"/>
  <c r="H502"/>
  <c r="H170"/>
  <c r="H670"/>
  <c r="H503"/>
  <c r="H671"/>
  <c r="H504"/>
  <c r="H672"/>
  <c r="H505"/>
  <c r="H173"/>
  <c r="H673"/>
  <c r="H506"/>
  <c r="H174"/>
  <c r="H674"/>
  <c r="H507"/>
  <c r="H675"/>
  <c r="H508"/>
  <c r="H676"/>
  <c r="H509"/>
  <c r="H177"/>
  <c r="H677"/>
  <c r="H510"/>
  <c r="H178"/>
  <c r="H678"/>
  <c r="H511"/>
  <c r="H679"/>
  <c r="H512"/>
  <c r="H680"/>
  <c r="H513"/>
  <c r="H681"/>
  <c r="H514"/>
  <c r="H682"/>
  <c r="H515"/>
  <c r="H183"/>
  <c r="H683"/>
  <c r="H516"/>
  <c r="H684"/>
  <c r="H517"/>
  <c r="H23" i="33"/>
  <c r="H27"/>
  <c r="H28"/>
  <c r="H31"/>
  <c r="G119"/>
  <c r="H47" s="1"/>
  <c r="H101"/>
  <c r="H119" s="1"/>
  <c r="H32"/>
  <c r="H33"/>
  <c r="I75" i="2"/>
  <c r="I27" i="35" s="1"/>
  <c r="I39" s="1"/>
  <c r="I72" s="1"/>
  <c r="H6" i="32"/>
  <c r="H23" i="31"/>
  <c r="H24"/>
  <c r="H25"/>
  <c r="H27"/>
  <c r="H31"/>
  <c r="H34"/>
  <c r="H35"/>
  <c r="H24" i="32"/>
  <c r="H25"/>
  <c r="H27"/>
  <c r="H29"/>
  <c r="H30"/>
  <c r="H31"/>
  <c r="H33"/>
  <c r="H34"/>
  <c r="H35"/>
  <c r="H38"/>
  <c r="H40"/>
  <c r="H41"/>
  <c r="H42"/>
  <c r="H43"/>
  <c r="H46"/>
  <c r="H47"/>
  <c r="H48"/>
  <c r="H49"/>
  <c r="H50"/>
  <c r="H52"/>
  <c r="H54"/>
  <c r="H56"/>
  <c r="H57"/>
  <c r="H58"/>
  <c r="H60"/>
  <c r="H61"/>
  <c r="H63"/>
  <c r="H64"/>
  <c r="H65"/>
  <c r="H66"/>
  <c r="H71"/>
  <c r="H73"/>
  <c r="H74"/>
  <c r="H76"/>
  <c r="H78"/>
  <c r="H80"/>
  <c r="H81"/>
  <c r="H82"/>
  <c r="H83"/>
  <c r="H85"/>
  <c r="H86"/>
  <c r="H87"/>
  <c r="H90"/>
  <c r="H91"/>
  <c r="H92"/>
  <c r="H97"/>
  <c r="H98"/>
  <c r="H100"/>
  <c r="H101"/>
  <c r="H102"/>
  <c r="H107"/>
  <c r="H111"/>
  <c r="H112"/>
  <c r="H115"/>
  <c r="H118"/>
  <c r="H119"/>
  <c r="H121"/>
  <c r="H123"/>
  <c r="H124"/>
  <c r="H127"/>
  <c r="H128"/>
  <c r="H129"/>
  <c r="H133"/>
  <c r="H134"/>
  <c r="H139"/>
  <c r="H141"/>
  <c r="H142"/>
  <c r="H144"/>
  <c r="H145"/>
  <c r="H146"/>
  <c r="H147"/>
  <c r="H148"/>
  <c r="H150"/>
  <c r="H153"/>
  <c r="H155"/>
  <c r="H156"/>
  <c r="H158"/>
  <c r="H159"/>
  <c r="H161"/>
  <c r="H166"/>
  <c r="H167"/>
  <c r="H172"/>
  <c r="H175"/>
  <c r="H176"/>
  <c r="H177"/>
  <c r="H179"/>
  <c r="H180"/>
  <c r="H181"/>
  <c r="H185"/>
  <c r="H186"/>
  <c r="H25" i="35"/>
  <c r="F25"/>
  <c r="G25"/>
  <c r="I25"/>
  <c r="E25"/>
  <c r="H26" i="4"/>
  <c r="H60" s="1"/>
  <c r="F26"/>
  <c r="G26"/>
  <c r="I26"/>
  <c r="E26"/>
  <c r="F51" i="36"/>
  <c r="F50"/>
  <c r="F61" i="23"/>
  <c r="F60"/>
  <c r="F59"/>
  <c r="H54"/>
  <c r="I54"/>
  <c r="H55"/>
  <c r="I55"/>
  <c r="H56"/>
  <c r="I56"/>
  <c r="H46" i="36"/>
  <c r="I46"/>
  <c r="F9" i="39"/>
  <c r="G9" s="1"/>
  <c r="H9"/>
  <c r="I9"/>
  <c r="I54" s="1"/>
  <c r="B28"/>
  <c r="I13"/>
  <c r="I14"/>
  <c r="I15"/>
  <c r="I16"/>
  <c r="I17" s="1"/>
  <c r="H13"/>
  <c r="H14"/>
  <c r="H15"/>
  <c r="H16"/>
  <c r="H28"/>
  <c r="G13"/>
  <c r="G14"/>
  <c r="G15"/>
  <c r="G16"/>
  <c r="F9" i="38"/>
  <c r="F28" s="1"/>
  <c r="G9"/>
  <c r="B71"/>
  <c r="G28"/>
  <c r="B93"/>
  <c r="B83"/>
  <c r="G40"/>
  <c r="B79"/>
  <c r="G36"/>
  <c r="B75"/>
  <c r="B73"/>
  <c r="B116" s="1"/>
  <c r="B159" s="1"/>
  <c r="B69"/>
  <c r="B67"/>
  <c r="B65"/>
  <c r="G22"/>
  <c r="B103"/>
  <c r="G60"/>
  <c r="B102"/>
  <c r="B101"/>
  <c r="B100"/>
  <c r="G57"/>
  <c r="F8" i="20"/>
  <c r="F8" i="41" s="1"/>
  <c r="E8"/>
  <c r="E50" i="36"/>
  <c r="E51"/>
  <c r="E60" i="23"/>
  <c r="E61"/>
  <c r="E59"/>
  <c r="D60"/>
  <c r="E55" s="1"/>
  <c r="D61"/>
  <c r="E26"/>
  <c r="E27"/>
  <c r="A32"/>
  <c r="A31"/>
  <c r="F9" i="1"/>
  <c r="F8"/>
  <c r="E6" i="38"/>
  <c r="F6"/>
  <c r="E7"/>
  <c r="F7"/>
  <c r="E8"/>
  <c r="F8"/>
  <c r="E9"/>
  <c r="E10"/>
  <c r="F10"/>
  <c r="G70" i="40"/>
  <c r="H70"/>
  <c r="I70"/>
  <c r="F70"/>
  <c r="E102" i="2"/>
  <c r="E28" i="38"/>
  <c r="F12" i="4"/>
  <c r="G12" s="1"/>
  <c r="G7" i="23" s="1"/>
  <c r="E77" i="4"/>
  <c r="E74" s="1"/>
  <c r="E70"/>
  <c r="E60"/>
  <c r="E59"/>
  <c r="F70"/>
  <c r="F60"/>
  <c r="F59"/>
  <c r="B51" i="2"/>
  <c r="B50"/>
  <c r="E18" i="42"/>
  <c r="F17"/>
  <c r="G17"/>
  <c r="E18" i="44"/>
  <c r="F17"/>
  <c r="G17"/>
  <c r="I7"/>
  <c r="G7" i="43"/>
  <c r="G7" i="44"/>
  <c r="F7" i="43"/>
  <c r="F12" s="1"/>
  <c r="E25" i="42"/>
  <c r="E25" i="44"/>
  <c r="E37"/>
  <c r="I6" i="42"/>
  <c r="A68" i="2"/>
  <c r="B22" i="27"/>
  <c r="B208"/>
  <c r="B394" s="1"/>
  <c r="B580" s="1"/>
  <c r="B766" s="1"/>
  <c r="B952" s="1"/>
  <c r="B1138" s="1"/>
  <c r="H1138"/>
  <c r="B23"/>
  <c r="B209" s="1"/>
  <c r="B395" s="1"/>
  <c r="B581"/>
  <c r="B767" s="1"/>
  <c r="B953" s="1"/>
  <c r="B1139" s="1"/>
  <c r="B24"/>
  <c r="B210"/>
  <c r="B396" s="1"/>
  <c r="B582" s="1"/>
  <c r="B768"/>
  <c r="B954" s="1"/>
  <c r="B1140" s="1"/>
  <c r="B25"/>
  <c r="B211" s="1"/>
  <c r="B397" s="1"/>
  <c r="B583" s="1"/>
  <c r="B769" s="1"/>
  <c r="B955"/>
  <c r="B1141" s="1"/>
  <c r="B26"/>
  <c r="B212"/>
  <c r="B398" s="1"/>
  <c r="B584" s="1"/>
  <c r="B770" s="1"/>
  <c r="B956" s="1"/>
  <c r="B1142"/>
  <c r="B27"/>
  <c r="B213"/>
  <c r="B399" s="1"/>
  <c r="B585" s="1"/>
  <c r="B771" s="1"/>
  <c r="B957" s="1"/>
  <c r="B1143" s="1"/>
  <c r="H1143"/>
  <c r="B28"/>
  <c r="B214"/>
  <c r="B400" s="1"/>
  <c r="B586"/>
  <c r="B772"/>
  <c r="B958" s="1"/>
  <c r="B1144" s="1"/>
  <c r="B29"/>
  <c r="B215" s="1"/>
  <c r="B401" s="1"/>
  <c r="B587"/>
  <c r="B773" s="1"/>
  <c r="B959" s="1"/>
  <c r="B1145" s="1"/>
  <c r="B30"/>
  <c r="B216"/>
  <c r="B402" s="1"/>
  <c r="B588" s="1"/>
  <c r="B774"/>
  <c r="B960"/>
  <c r="B1146" s="1"/>
  <c r="B31"/>
  <c r="B217" s="1"/>
  <c r="B403" s="1"/>
  <c r="B589" s="1"/>
  <c r="B775" s="1"/>
  <c r="B961" s="1"/>
  <c r="B1147" s="1"/>
  <c r="H1147"/>
  <c r="B32"/>
  <c r="B218"/>
  <c r="B404" s="1"/>
  <c r="B590" s="1"/>
  <c r="B776" s="1"/>
  <c r="B962" s="1"/>
  <c r="B1148"/>
  <c r="B33"/>
  <c r="B219" s="1"/>
  <c r="B405" s="1"/>
  <c r="B591" s="1"/>
  <c r="B777" s="1"/>
  <c r="B963" s="1"/>
  <c r="B1149" s="1"/>
  <c r="B34"/>
  <c r="B220"/>
  <c r="B406" s="1"/>
  <c r="B592" s="1"/>
  <c r="B778" s="1"/>
  <c r="B964" s="1"/>
  <c r="B1150" s="1"/>
  <c r="B35"/>
  <c r="B221"/>
  <c r="B407" s="1"/>
  <c r="B593" s="1"/>
  <c r="B779" s="1"/>
  <c r="B965" s="1"/>
  <c r="B1151" s="1"/>
  <c r="B36"/>
  <c r="B222"/>
  <c r="B408" s="1"/>
  <c r="B594"/>
  <c r="B780" s="1"/>
  <c r="B966" s="1"/>
  <c r="B1152" s="1"/>
  <c r="B37"/>
  <c r="B223" s="1"/>
  <c r="B409" s="1"/>
  <c r="B595" s="1"/>
  <c r="B781" s="1"/>
  <c r="B967" s="1"/>
  <c r="B1153" s="1"/>
  <c r="B38"/>
  <c r="B224"/>
  <c r="B410" s="1"/>
  <c r="B596" s="1"/>
  <c r="B782"/>
  <c r="B968" s="1"/>
  <c r="B1154"/>
  <c r="B39"/>
  <c r="B225" s="1"/>
  <c r="B411" s="1"/>
  <c r="B597" s="1"/>
  <c r="B783" s="1"/>
  <c r="B969" s="1"/>
  <c r="B1155" s="1"/>
  <c r="B40"/>
  <c r="B226"/>
  <c r="B412" s="1"/>
  <c r="B598" s="1"/>
  <c r="B784"/>
  <c r="B970" s="1"/>
  <c r="B1156" s="1"/>
  <c r="B41"/>
  <c r="B227" s="1"/>
  <c r="B413" s="1"/>
  <c r="B599" s="1"/>
  <c r="B785" s="1"/>
  <c r="B971" s="1"/>
  <c r="B1157" s="1"/>
  <c r="B42"/>
  <c r="B228" s="1"/>
  <c r="B414" s="1"/>
  <c r="B600" s="1"/>
  <c r="B786" s="1"/>
  <c r="B972" s="1"/>
  <c r="B1158" s="1"/>
  <c r="H1158"/>
  <c r="B43"/>
  <c r="B229" s="1"/>
  <c r="B415" s="1"/>
  <c r="B601" s="1"/>
  <c r="B787" s="1"/>
  <c r="B973" s="1"/>
  <c r="B1159" s="1"/>
  <c r="B44"/>
  <c r="B230"/>
  <c r="B416" s="1"/>
  <c r="B602"/>
  <c r="B788"/>
  <c r="B974" s="1"/>
  <c r="B1160" s="1"/>
  <c r="B45"/>
  <c r="B231" s="1"/>
  <c r="B417" s="1"/>
  <c r="B603" s="1"/>
  <c r="B789" s="1"/>
  <c r="B975" s="1"/>
  <c r="B1161" s="1"/>
  <c r="B46"/>
  <c r="B232"/>
  <c r="B418" s="1"/>
  <c r="B604" s="1"/>
  <c r="B790"/>
  <c r="B976"/>
  <c r="B1162" s="1"/>
  <c r="B47"/>
  <c r="B233" s="1"/>
  <c r="B419" s="1"/>
  <c r="B605" s="1"/>
  <c r="B791" s="1"/>
  <c r="B977" s="1"/>
  <c r="B1163"/>
  <c r="B48"/>
  <c r="B234"/>
  <c r="B420" s="1"/>
  <c r="B606" s="1"/>
  <c r="B792" s="1"/>
  <c r="B978" s="1"/>
  <c r="B1164" s="1"/>
  <c r="B49"/>
  <c r="B235" s="1"/>
  <c r="B421" s="1"/>
  <c r="B607" s="1"/>
  <c r="B793" s="1"/>
  <c r="B979"/>
  <c r="B1165" s="1"/>
  <c r="B50"/>
  <c r="B236"/>
  <c r="B422" s="1"/>
  <c r="B608" s="1"/>
  <c r="B794" s="1"/>
  <c r="B980" s="1"/>
  <c r="B1166"/>
  <c r="B51"/>
  <c r="B237" s="1"/>
  <c r="B423" s="1"/>
  <c r="B609" s="1"/>
  <c r="B795" s="1"/>
  <c r="B981" s="1"/>
  <c r="B1167" s="1"/>
  <c r="B52"/>
  <c r="B238"/>
  <c r="B424" s="1"/>
  <c r="B610"/>
  <c r="B796" s="1"/>
  <c r="B982" s="1"/>
  <c r="B1168" s="1"/>
  <c r="B53"/>
  <c r="B239" s="1"/>
  <c r="B425" s="1"/>
  <c r="B611" s="1"/>
  <c r="B797" s="1"/>
  <c r="B983"/>
  <c r="B1169" s="1"/>
  <c r="H1169"/>
  <c r="B54"/>
  <c r="B240"/>
  <c r="B426" s="1"/>
  <c r="B612" s="1"/>
  <c r="B798"/>
  <c r="B984" s="1"/>
  <c r="B1170" s="1"/>
  <c r="B55"/>
  <c r="B241" s="1"/>
  <c r="B427" s="1"/>
  <c r="B613"/>
  <c r="B799" s="1"/>
  <c r="B985" s="1"/>
  <c r="B1171"/>
  <c r="B56"/>
  <c r="B242"/>
  <c r="B428" s="1"/>
  <c r="B614" s="1"/>
  <c r="B800" s="1"/>
  <c r="B986" s="1"/>
  <c r="B1172" s="1"/>
  <c r="B57"/>
  <c r="B243" s="1"/>
  <c r="B429" s="1"/>
  <c r="B615" s="1"/>
  <c r="B801" s="1"/>
  <c r="B987"/>
  <c r="B1173" s="1"/>
  <c r="B58"/>
  <c r="B244" s="1"/>
  <c r="B430" s="1"/>
  <c r="B616" s="1"/>
  <c r="B802" s="1"/>
  <c r="B988" s="1"/>
  <c r="B1174" s="1"/>
  <c r="H1174"/>
  <c r="B59"/>
  <c r="B245" s="1"/>
  <c r="B431" s="1"/>
  <c r="B617" s="1"/>
  <c r="B803" s="1"/>
  <c r="B989" s="1"/>
  <c r="B1175" s="1"/>
  <c r="B60"/>
  <c r="B246"/>
  <c r="B432" s="1"/>
  <c r="B618" s="1"/>
  <c r="B804" s="1"/>
  <c r="B990" s="1"/>
  <c r="B1176" s="1"/>
  <c r="B61"/>
  <c r="B247" s="1"/>
  <c r="B433" s="1"/>
  <c r="B619" s="1"/>
  <c r="B805"/>
  <c r="B991"/>
  <c r="B1177" s="1"/>
  <c r="B62"/>
  <c r="B248"/>
  <c r="B434" s="1"/>
  <c r="B620" s="1"/>
  <c r="B806" s="1"/>
  <c r="B992" s="1"/>
  <c r="B1178" s="1"/>
  <c r="B63"/>
  <c r="B249" s="1"/>
  <c r="B435" s="1"/>
  <c r="B621"/>
  <c r="B807" s="1"/>
  <c r="B993" s="1"/>
  <c r="B1179" s="1"/>
  <c r="B64"/>
  <c r="B250"/>
  <c r="B436" s="1"/>
  <c r="B622" s="1"/>
  <c r="B808"/>
  <c r="B994" s="1"/>
  <c r="B1180" s="1"/>
  <c r="B65"/>
  <c r="B251" s="1"/>
  <c r="B437" s="1"/>
  <c r="B623" s="1"/>
  <c r="B809" s="1"/>
  <c r="B995"/>
  <c r="B1181" s="1"/>
  <c r="B66"/>
  <c r="B252"/>
  <c r="B438" s="1"/>
  <c r="B624" s="1"/>
  <c r="B810" s="1"/>
  <c r="B996" s="1"/>
  <c r="B1182"/>
  <c r="B67"/>
  <c r="B253"/>
  <c r="B439" s="1"/>
  <c r="B625" s="1"/>
  <c r="B811" s="1"/>
  <c r="B997" s="1"/>
  <c r="B1183" s="1"/>
  <c r="B68"/>
  <c r="B254"/>
  <c r="B440" s="1"/>
  <c r="B626"/>
  <c r="B812"/>
  <c r="B998" s="1"/>
  <c r="B1184" s="1"/>
  <c r="B69"/>
  <c r="B255" s="1"/>
  <c r="B441" s="1"/>
  <c r="B627"/>
  <c r="B813" s="1"/>
  <c r="B999" s="1"/>
  <c r="B1185" s="1"/>
  <c r="B70"/>
  <c r="B256"/>
  <c r="B442" s="1"/>
  <c r="B628" s="1"/>
  <c r="B814" s="1"/>
  <c r="B1000"/>
  <c r="B1186" s="1"/>
  <c r="B71"/>
  <c r="B257" s="1"/>
  <c r="B443" s="1"/>
  <c r="B629"/>
  <c r="B815" s="1"/>
  <c r="B1001" s="1"/>
  <c r="B1187" s="1"/>
  <c r="B72"/>
  <c r="B258"/>
  <c r="B444" s="1"/>
  <c r="B630" s="1"/>
  <c r="B816" s="1"/>
  <c r="B1002" s="1"/>
  <c r="B1188"/>
  <c r="B73"/>
  <c r="B259" s="1"/>
  <c r="B445" s="1"/>
  <c r="B631" s="1"/>
  <c r="B817" s="1"/>
  <c r="B1003" s="1"/>
  <c r="B1189" s="1"/>
  <c r="B74"/>
  <c r="B260"/>
  <c r="B446" s="1"/>
  <c r="B632" s="1"/>
  <c r="B818" s="1"/>
  <c r="B1004" s="1"/>
  <c r="B1190" s="1"/>
  <c r="B75"/>
  <c r="B261" s="1"/>
  <c r="B447" s="1"/>
  <c r="B633" s="1"/>
  <c r="B819" s="1"/>
  <c r="B1005" s="1"/>
  <c r="B1191" s="1"/>
  <c r="B76"/>
  <c r="B262"/>
  <c r="B448" s="1"/>
  <c r="B634"/>
  <c r="B820" s="1"/>
  <c r="B1006" s="1"/>
  <c r="B1192" s="1"/>
  <c r="B77"/>
  <c r="B263" s="1"/>
  <c r="B449" s="1"/>
  <c r="B635"/>
  <c r="B821" s="1"/>
  <c r="B1007" s="1"/>
  <c r="B1193" s="1"/>
  <c r="B78"/>
  <c r="B264"/>
  <c r="B450" s="1"/>
  <c r="B636" s="1"/>
  <c r="B822"/>
  <c r="B1008" s="1"/>
  <c r="B1194" s="1"/>
  <c r="B79"/>
  <c r="B265" s="1"/>
  <c r="B451" s="1"/>
  <c r="B637"/>
  <c r="B823" s="1"/>
  <c r="B1009" s="1"/>
  <c r="B1195" s="1"/>
  <c r="B80"/>
  <c r="B266"/>
  <c r="B452" s="1"/>
  <c r="B638" s="1"/>
  <c r="B824"/>
  <c r="B1010" s="1"/>
  <c r="B1196"/>
  <c r="B81"/>
  <c r="B267" s="1"/>
  <c r="B453" s="1"/>
  <c r="B639" s="1"/>
  <c r="B825" s="1"/>
  <c r="B1011" s="1"/>
  <c r="B1197" s="1"/>
  <c r="B82"/>
  <c r="B268" s="1"/>
  <c r="B454" s="1"/>
  <c r="B640" s="1"/>
  <c r="B826" s="1"/>
  <c r="B1012" s="1"/>
  <c r="B1198"/>
  <c r="B83"/>
  <c r="B269" s="1"/>
  <c r="B455" s="1"/>
  <c r="B641" s="1"/>
  <c r="B827" s="1"/>
  <c r="B1013" s="1"/>
  <c r="B1199" s="1"/>
  <c r="B84"/>
  <c r="B270"/>
  <c r="B456" s="1"/>
  <c r="B642" s="1"/>
  <c r="B828"/>
  <c r="B1014" s="1"/>
  <c r="B1200" s="1"/>
  <c r="B85"/>
  <c r="B271" s="1"/>
  <c r="B457" s="1"/>
  <c r="B643"/>
  <c r="B829" s="1"/>
  <c r="B1015" s="1"/>
  <c r="B1201" s="1"/>
  <c r="B86"/>
  <c r="B272"/>
  <c r="B458" s="1"/>
  <c r="B644" s="1"/>
  <c r="B830" s="1"/>
  <c r="B1016" s="1"/>
  <c r="B1202" s="1"/>
  <c r="B87"/>
  <c r="B273" s="1"/>
  <c r="B459" s="1"/>
  <c r="B645" s="1"/>
  <c r="B831" s="1"/>
  <c r="B1017" s="1"/>
  <c r="B1203" s="1"/>
  <c r="B88"/>
  <c r="B274"/>
  <c r="B460" s="1"/>
  <c r="B646" s="1"/>
  <c r="B832"/>
  <c r="B1018" s="1"/>
  <c r="B1204" s="1"/>
  <c r="B89"/>
  <c r="B275" s="1"/>
  <c r="B461" s="1"/>
  <c r="B647" s="1"/>
  <c r="B833" s="1"/>
  <c r="B1019" s="1"/>
  <c r="B1205" s="1"/>
  <c r="B90"/>
  <c r="B276"/>
  <c r="B462" s="1"/>
  <c r="B648" s="1"/>
  <c r="B834" s="1"/>
  <c r="B1020" s="1"/>
  <c r="B1206" s="1"/>
  <c r="B91"/>
  <c r="B277" s="1"/>
  <c r="B463" s="1"/>
  <c r="B649" s="1"/>
  <c r="B835" s="1"/>
  <c r="B1021" s="1"/>
  <c r="B1207" s="1"/>
  <c r="B92"/>
  <c r="B278"/>
  <c r="B464" s="1"/>
  <c r="B650"/>
  <c r="B836" s="1"/>
  <c r="B1022" s="1"/>
  <c r="B1208" s="1"/>
  <c r="B93"/>
  <c r="B279" s="1"/>
  <c r="B465" s="1"/>
  <c r="B651" s="1"/>
  <c r="B837" s="1"/>
  <c r="B1023" s="1"/>
  <c r="B1209" s="1"/>
  <c r="B94"/>
  <c r="B280"/>
  <c r="B466" s="1"/>
  <c r="B652" s="1"/>
  <c r="B838"/>
  <c r="B1024"/>
  <c r="B1210"/>
  <c r="B95"/>
  <c r="B281" s="1"/>
  <c r="B467" s="1"/>
  <c r="B653" s="1"/>
  <c r="B839" s="1"/>
  <c r="B1025" s="1"/>
  <c r="B1211" s="1"/>
  <c r="B96"/>
  <c r="B282"/>
  <c r="B468" s="1"/>
  <c r="B654" s="1"/>
  <c r="B840" s="1"/>
  <c r="B1026" s="1"/>
  <c r="B1212" s="1"/>
  <c r="B97"/>
  <c r="B283" s="1"/>
  <c r="B469" s="1"/>
  <c r="B655" s="1"/>
  <c r="B841" s="1"/>
  <c r="B1027"/>
  <c r="B1213" s="1"/>
  <c r="B98"/>
  <c r="B284" s="1"/>
  <c r="B470" s="1"/>
  <c r="B656" s="1"/>
  <c r="B842" s="1"/>
  <c r="B1028" s="1"/>
  <c r="B1214" s="1"/>
  <c r="B99"/>
  <c r="B285" s="1"/>
  <c r="B471" s="1"/>
  <c r="B657" s="1"/>
  <c r="B843" s="1"/>
  <c r="B1029" s="1"/>
  <c r="B1215" s="1"/>
  <c r="B100"/>
  <c r="B286"/>
  <c r="B472" s="1"/>
  <c r="B658"/>
  <c r="B844" s="1"/>
  <c r="B1030" s="1"/>
  <c r="B1216" s="1"/>
  <c r="B101"/>
  <c r="B287" s="1"/>
  <c r="B473" s="1"/>
  <c r="B659" s="1"/>
  <c r="B845" s="1"/>
  <c r="B1031" s="1"/>
  <c r="B1217" s="1"/>
  <c r="B102"/>
  <c r="B288"/>
  <c r="B474" s="1"/>
  <c r="B660" s="1"/>
  <c r="B846" s="1"/>
  <c r="B1032" s="1"/>
  <c r="B1218" s="1"/>
  <c r="B103"/>
  <c r="B289" s="1"/>
  <c r="B475" s="1"/>
  <c r="B661" s="1"/>
  <c r="B847" s="1"/>
  <c r="B1033"/>
  <c r="B1219" s="1"/>
  <c r="B104"/>
  <c r="B290"/>
  <c r="B476" s="1"/>
  <c r="B662" s="1"/>
  <c r="B848" s="1"/>
  <c r="B1034" s="1"/>
  <c r="B1220" s="1"/>
  <c r="B105"/>
  <c r="B291" s="1"/>
  <c r="B477" s="1"/>
  <c r="B663" s="1"/>
  <c r="B849" s="1"/>
  <c r="B1035" s="1"/>
  <c r="B1221" s="1"/>
  <c r="B106"/>
  <c r="B292"/>
  <c r="B478" s="1"/>
  <c r="B664" s="1"/>
  <c r="B850" s="1"/>
  <c r="B1036" s="1"/>
  <c r="B1222" s="1"/>
  <c r="H1222"/>
  <c r="B107"/>
  <c r="B293"/>
  <c r="B479" s="1"/>
  <c r="B665" s="1"/>
  <c r="B851" s="1"/>
  <c r="B1037" s="1"/>
  <c r="B1223" s="1"/>
  <c r="B108"/>
  <c r="B294"/>
  <c r="B480" s="1"/>
  <c r="B666" s="1"/>
  <c r="B852" s="1"/>
  <c r="B1038" s="1"/>
  <c r="B1224" s="1"/>
  <c r="B109"/>
  <c r="B295" s="1"/>
  <c r="B481" s="1"/>
  <c r="B667"/>
  <c r="B853" s="1"/>
  <c r="B1039"/>
  <c r="B1225" s="1"/>
  <c r="B110"/>
  <c r="B296"/>
  <c r="B482" s="1"/>
  <c r="B668" s="1"/>
  <c r="B854" s="1"/>
  <c r="B1040" s="1"/>
  <c r="B1226" s="1"/>
  <c r="B111"/>
  <c r="B297" s="1"/>
  <c r="B483" s="1"/>
  <c r="B669" s="1"/>
  <c r="B855" s="1"/>
  <c r="B1041"/>
  <c r="B1227" s="1"/>
  <c r="B112"/>
  <c r="B298"/>
  <c r="B484" s="1"/>
  <c r="B670" s="1"/>
  <c r="B856" s="1"/>
  <c r="B1042" s="1"/>
  <c r="B1228" s="1"/>
  <c r="B113"/>
  <c r="B299" s="1"/>
  <c r="B485" s="1"/>
  <c r="B671" s="1"/>
  <c r="B857" s="1"/>
  <c r="B1043"/>
  <c r="B1229" s="1"/>
  <c r="B114"/>
  <c r="B300" s="1"/>
  <c r="B486" s="1"/>
  <c r="B672" s="1"/>
  <c r="B858" s="1"/>
  <c r="B1044" s="1"/>
  <c r="B1230" s="1"/>
  <c r="B115"/>
  <c r="B301" s="1"/>
  <c r="B487" s="1"/>
  <c r="B673"/>
  <c r="B859" s="1"/>
  <c r="B1045" s="1"/>
  <c r="B1231" s="1"/>
  <c r="B116"/>
  <c r="B302"/>
  <c r="B488" s="1"/>
  <c r="B674" s="1"/>
  <c r="B860" s="1"/>
  <c r="B1046" s="1"/>
  <c r="B1232" s="1"/>
  <c r="B117"/>
  <c r="B303" s="1"/>
  <c r="B489" s="1"/>
  <c r="B675" s="1"/>
  <c r="B861"/>
  <c r="B1047" s="1"/>
  <c r="B1233" s="1"/>
  <c r="H1233"/>
  <c r="B118"/>
  <c r="B304"/>
  <c r="B490" s="1"/>
  <c r="B676" s="1"/>
  <c r="B862" s="1"/>
  <c r="B1048" s="1"/>
  <c r="B1234" s="1"/>
  <c r="B119"/>
  <c r="B305" s="1"/>
  <c r="B491" s="1"/>
  <c r="B677"/>
  <c r="B863" s="1"/>
  <c r="B1049"/>
  <c r="B1235" s="1"/>
  <c r="B120"/>
  <c r="B306"/>
  <c r="B492" s="1"/>
  <c r="B678" s="1"/>
  <c r="B864" s="1"/>
  <c r="B1050" s="1"/>
  <c r="B1236"/>
  <c r="B121"/>
  <c r="B307" s="1"/>
  <c r="B493" s="1"/>
  <c r="B679" s="1"/>
  <c r="B865" s="1"/>
  <c r="B1051" s="1"/>
  <c r="B1237" s="1"/>
  <c r="B122"/>
  <c r="B308"/>
  <c r="B494" s="1"/>
  <c r="B680" s="1"/>
  <c r="B866" s="1"/>
  <c r="B1052" s="1"/>
  <c r="B1238" s="1"/>
  <c r="B123"/>
  <c r="B309" s="1"/>
  <c r="B495" s="1"/>
  <c r="B681" s="1"/>
  <c r="B867" s="1"/>
  <c r="B1053" s="1"/>
  <c r="B1239" s="1"/>
  <c r="B124"/>
  <c r="B310"/>
  <c r="B496" s="1"/>
  <c r="B682"/>
  <c r="B868" s="1"/>
  <c r="B1054" s="1"/>
  <c r="B1240" s="1"/>
  <c r="B125"/>
  <c r="B311" s="1"/>
  <c r="B497" s="1"/>
  <c r="B683"/>
  <c r="B869"/>
  <c r="B1055" s="1"/>
  <c r="B1241" s="1"/>
  <c r="B126"/>
  <c r="B312"/>
  <c r="B498" s="1"/>
  <c r="B684" s="1"/>
  <c r="B870"/>
  <c r="B1056" s="1"/>
  <c r="B1242"/>
  <c r="B127"/>
  <c r="B313" s="1"/>
  <c r="B499" s="1"/>
  <c r="B685" s="1"/>
  <c r="B871" s="1"/>
  <c r="B1057" s="1"/>
  <c r="B1243" s="1"/>
  <c r="B128"/>
  <c r="B314"/>
  <c r="B500" s="1"/>
  <c r="B686" s="1"/>
  <c r="B872"/>
  <c r="B1058" s="1"/>
  <c r="B1244"/>
  <c r="B129"/>
  <c r="B315" s="1"/>
  <c r="B501" s="1"/>
  <c r="B687" s="1"/>
  <c r="B873" s="1"/>
  <c r="B1059" s="1"/>
  <c r="B1245" s="1"/>
  <c r="B130"/>
  <c r="B316" s="1"/>
  <c r="B502" s="1"/>
  <c r="B688" s="1"/>
  <c r="B874" s="1"/>
  <c r="B1060" s="1"/>
  <c r="B1246" s="1"/>
  <c r="B131"/>
  <c r="B317"/>
  <c r="B503" s="1"/>
  <c r="B689" s="1"/>
  <c r="B875" s="1"/>
  <c r="B1061" s="1"/>
  <c r="B1247" s="1"/>
  <c r="B132"/>
  <c r="B318"/>
  <c r="B504" s="1"/>
  <c r="B690" s="1"/>
  <c r="B876"/>
  <c r="B1062" s="1"/>
  <c r="B1248" s="1"/>
  <c r="B133"/>
  <c r="B319" s="1"/>
  <c r="B505" s="1"/>
  <c r="B691" s="1"/>
  <c r="B877" s="1"/>
  <c r="B1063" s="1"/>
  <c r="B1249" s="1"/>
  <c r="H1249"/>
  <c r="B134"/>
  <c r="B320"/>
  <c r="B506" s="1"/>
  <c r="B692" s="1"/>
  <c r="B878"/>
  <c r="B1064"/>
  <c r="B1250"/>
  <c r="B135"/>
  <c r="B321" s="1"/>
  <c r="B507" s="1"/>
  <c r="B693" s="1"/>
  <c r="B879" s="1"/>
  <c r="B1065" s="1"/>
  <c r="B1251" s="1"/>
  <c r="B136"/>
  <c r="B322"/>
  <c r="B508" s="1"/>
  <c r="B694" s="1"/>
  <c r="B880"/>
  <c r="B1066" s="1"/>
  <c r="B1252" s="1"/>
  <c r="B137"/>
  <c r="B323" s="1"/>
  <c r="B509" s="1"/>
  <c r="B695" s="1"/>
  <c r="B881" s="1"/>
  <c r="B1067"/>
  <c r="B1253" s="1"/>
  <c r="B138"/>
  <c r="B324"/>
  <c r="B510" s="1"/>
  <c r="B696" s="1"/>
  <c r="B882" s="1"/>
  <c r="B1068" s="1"/>
  <c r="B1254" s="1"/>
  <c r="B139"/>
  <c r="B325" s="1"/>
  <c r="B511" s="1"/>
  <c r="B697" s="1"/>
  <c r="B883" s="1"/>
  <c r="B1069" s="1"/>
  <c r="B1255" s="1"/>
  <c r="B140"/>
  <c r="B326"/>
  <c r="B512" s="1"/>
  <c r="B698"/>
  <c r="B884"/>
  <c r="B1070" s="1"/>
  <c r="B1256" s="1"/>
  <c r="B141"/>
  <c r="B327" s="1"/>
  <c r="B513" s="1"/>
  <c r="B699" s="1"/>
  <c r="B885" s="1"/>
  <c r="B1071" s="1"/>
  <c r="B1257" s="1"/>
  <c r="B142"/>
  <c r="B328"/>
  <c r="B514" s="1"/>
  <c r="B700" s="1"/>
  <c r="B886"/>
  <c r="B1072" s="1"/>
  <c r="B1258" s="1"/>
  <c r="B143"/>
  <c r="B329" s="1"/>
  <c r="B515" s="1"/>
  <c r="B701" s="1"/>
  <c r="B887" s="1"/>
  <c r="B1073"/>
  <c r="B1259" s="1"/>
  <c r="B144"/>
  <c r="B330"/>
  <c r="B516" s="1"/>
  <c r="B702" s="1"/>
  <c r="B888" s="1"/>
  <c r="B1074" s="1"/>
  <c r="B1260" s="1"/>
  <c r="B145"/>
  <c r="B331" s="1"/>
  <c r="B517" s="1"/>
  <c r="B703" s="1"/>
  <c r="B889" s="1"/>
  <c r="B1075" s="1"/>
  <c r="B1261" s="1"/>
  <c r="B146"/>
  <c r="B332"/>
  <c r="B518" s="1"/>
  <c r="B704" s="1"/>
  <c r="B890" s="1"/>
  <c r="B1076" s="1"/>
  <c r="B1262" s="1"/>
  <c r="B147"/>
  <c r="B333" s="1"/>
  <c r="B519" s="1"/>
  <c r="B705" s="1"/>
  <c r="B891" s="1"/>
  <c r="B1077" s="1"/>
  <c r="B1263" s="1"/>
  <c r="B148"/>
  <c r="B334"/>
  <c r="B520" s="1"/>
  <c r="B706"/>
  <c r="B892" s="1"/>
  <c r="B1078" s="1"/>
  <c r="B1264" s="1"/>
  <c r="B149"/>
  <c r="B335" s="1"/>
  <c r="B521" s="1"/>
  <c r="B707" s="1"/>
  <c r="B893" s="1"/>
  <c r="B1079" s="1"/>
  <c r="B1265" s="1"/>
  <c r="B150"/>
  <c r="B336"/>
  <c r="B522" s="1"/>
  <c r="B708" s="1"/>
  <c r="B894" s="1"/>
  <c r="B1080" s="1"/>
  <c r="B1266" s="1"/>
  <c r="H1266"/>
  <c r="B151"/>
  <c r="B337" s="1"/>
  <c r="B523" s="1"/>
  <c r="B709" s="1"/>
  <c r="B895" s="1"/>
  <c r="B1081" s="1"/>
  <c r="B1267" s="1"/>
  <c r="H1267"/>
  <c r="B152"/>
  <c r="B338"/>
  <c r="B524" s="1"/>
  <c r="B710" s="1"/>
  <c r="B896" s="1"/>
  <c r="B1082" s="1"/>
  <c r="B1268"/>
  <c r="B153"/>
  <c r="B339" s="1"/>
  <c r="B525" s="1"/>
  <c r="B711" s="1"/>
  <c r="B897" s="1"/>
  <c r="B1083" s="1"/>
  <c r="B1269" s="1"/>
  <c r="B154"/>
  <c r="B340" s="1"/>
  <c r="B526" s="1"/>
  <c r="B712" s="1"/>
  <c r="B898" s="1"/>
  <c r="B1084" s="1"/>
  <c r="B1270" s="1"/>
  <c r="B155"/>
  <c r="B341" s="1"/>
  <c r="B527" s="1"/>
  <c r="B713"/>
  <c r="B899" s="1"/>
  <c r="B1085" s="1"/>
  <c r="B1271" s="1"/>
  <c r="B156"/>
  <c r="B342"/>
  <c r="B528" s="1"/>
  <c r="B714" s="1"/>
  <c r="B900" s="1"/>
  <c r="B1086" s="1"/>
  <c r="B1272" s="1"/>
  <c r="B157"/>
  <c r="B343" s="1"/>
  <c r="B529" s="1"/>
  <c r="B715" s="1"/>
  <c r="B901" s="1"/>
  <c r="B1087" s="1"/>
  <c r="B1273" s="1"/>
  <c r="B158"/>
  <c r="B344"/>
  <c r="B530" s="1"/>
  <c r="B716" s="1"/>
  <c r="B902" s="1"/>
  <c r="B1088" s="1"/>
  <c r="B1274"/>
  <c r="B159"/>
  <c r="B345" s="1"/>
  <c r="B531" s="1"/>
  <c r="B717"/>
  <c r="B903" s="1"/>
  <c r="B1089" s="1"/>
  <c r="B1275" s="1"/>
  <c r="B160"/>
  <c r="B346"/>
  <c r="B532" s="1"/>
  <c r="B718" s="1"/>
  <c r="B904"/>
  <c r="B1090" s="1"/>
  <c r="B1276" s="1"/>
  <c r="B161"/>
  <c r="B347" s="1"/>
  <c r="B533" s="1"/>
  <c r="B719" s="1"/>
  <c r="B905" s="1"/>
  <c r="B1091" s="1"/>
  <c r="B1277" s="1"/>
  <c r="B162"/>
  <c r="B348" s="1"/>
  <c r="B534" s="1"/>
  <c r="B720" s="1"/>
  <c r="B906" s="1"/>
  <c r="B1092" s="1"/>
  <c r="B1278" s="1"/>
  <c r="B163"/>
  <c r="B349"/>
  <c r="B535" s="1"/>
  <c r="B721"/>
  <c r="B907" s="1"/>
  <c r="B1093" s="1"/>
  <c r="B1279" s="1"/>
  <c r="B164"/>
  <c r="B350"/>
  <c r="B536" s="1"/>
  <c r="B722" s="1"/>
  <c r="B908" s="1"/>
  <c r="B1094" s="1"/>
  <c r="B1280" s="1"/>
  <c r="B165"/>
  <c r="B351"/>
  <c r="B537" s="1"/>
  <c r="B723" s="1"/>
  <c r="B909" s="1"/>
  <c r="B1095" s="1"/>
  <c r="B1281" s="1"/>
  <c r="B166"/>
  <c r="B352" s="1"/>
  <c r="B538" s="1"/>
  <c r="B724" s="1"/>
  <c r="B910" s="1"/>
  <c r="B1096" s="1"/>
  <c r="B1282" s="1"/>
  <c r="B167"/>
  <c r="B353" s="1"/>
  <c r="B539" s="1"/>
  <c r="B725" s="1"/>
  <c r="B911" s="1"/>
  <c r="B1097" s="1"/>
  <c r="B1283" s="1"/>
  <c r="B168"/>
  <c r="B354" s="1"/>
  <c r="B540"/>
  <c r="B726" s="1"/>
  <c r="B912" s="1"/>
  <c r="B1098" s="1"/>
  <c r="B1284" s="1"/>
  <c r="B169"/>
  <c r="B355"/>
  <c r="B541" s="1"/>
  <c r="B727" s="1"/>
  <c r="B913" s="1"/>
  <c r="B1099" s="1"/>
  <c r="B1285" s="1"/>
  <c r="B170"/>
  <c r="B356" s="1"/>
  <c r="B542" s="1"/>
  <c r="B728" s="1"/>
  <c r="B914" s="1"/>
  <c r="B1100" s="1"/>
  <c r="B1286" s="1"/>
  <c r="B171"/>
  <c r="B357"/>
  <c r="B543" s="1"/>
  <c r="B729" s="1"/>
  <c r="B915" s="1"/>
  <c r="B1101" s="1"/>
  <c r="B1287"/>
  <c r="B172"/>
  <c r="B358" s="1"/>
  <c r="B544"/>
  <c r="B730" s="1"/>
  <c r="B916" s="1"/>
  <c r="B1102" s="1"/>
  <c r="B1288" s="1"/>
  <c r="B173"/>
  <c r="B359"/>
  <c r="B545" s="1"/>
  <c r="B731"/>
  <c r="B917" s="1"/>
  <c r="B1103" s="1"/>
  <c r="B1289" s="1"/>
  <c r="B174"/>
  <c r="B360" s="1"/>
  <c r="B546" s="1"/>
  <c r="B732" s="1"/>
  <c r="B918" s="1"/>
  <c r="B1104" s="1"/>
  <c r="B1290" s="1"/>
  <c r="B175"/>
  <c r="B361" s="1"/>
  <c r="B547" s="1"/>
  <c r="B733" s="1"/>
  <c r="B919" s="1"/>
  <c r="B1105" s="1"/>
  <c r="B1291" s="1"/>
  <c r="B176"/>
  <c r="B362"/>
  <c r="B548"/>
  <c r="B734" s="1"/>
  <c r="B920" s="1"/>
  <c r="B1106" s="1"/>
  <c r="B1292" s="1"/>
  <c r="B177"/>
  <c r="B363"/>
  <c r="B549" s="1"/>
  <c r="B735" s="1"/>
  <c r="B921" s="1"/>
  <c r="B1107" s="1"/>
  <c r="B1293" s="1"/>
  <c r="B178"/>
  <c r="B364" s="1"/>
  <c r="B550"/>
  <c r="B736" s="1"/>
  <c r="B922" s="1"/>
  <c r="B1108" s="1"/>
  <c r="B1294" s="1"/>
  <c r="B179"/>
  <c r="B365"/>
  <c r="B551" s="1"/>
  <c r="B737" s="1"/>
  <c r="B923" s="1"/>
  <c r="B1109" s="1"/>
  <c r="B1295" s="1"/>
  <c r="B180"/>
  <c r="B366" s="1"/>
  <c r="B552" s="1"/>
  <c r="B738" s="1"/>
  <c r="B924" s="1"/>
  <c r="B1110" s="1"/>
  <c r="B1296" s="1"/>
  <c r="B181"/>
  <c r="B367"/>
  <c r="B553" s="1"/>
  <c r="B739" s="1"/>
  <c r="B925" s="1"/>
  <c r="B1111" s="1"/>
  <c r="B1297"/>
  <c r="B182"/>
  <c r="B368" s="1"/>
  <c r="B554" s="1"/>
  <c r="B740" s="1"/>
  <c r="B926" s="1"/>
  <c r="B1112" s="1"/>
  <c r="B1298" s="1"/>
  <c r="B183"/>
  <c r="B369"/>
  <c r="B555" s="1"/>
  <c r="B741" s="1"/>
  <c r="B927" s="1"/>
  <c r="B1113" s="1"/>
  <c r="B1299" s="1"/>
  <c r="B184"/>
  <c r="B370" s="1"/>
  <c r="B556" s="1"/>
  <c r="B742" s="1"/>
  <c r="B928" s="1"/>
  <c r="B1114" s="1"/>
  <c r="B1300" s="1"/>
  <c r="B185"/>
  <c r="B371"/>
  <c r="B557"/>
  <c r="B743" s="1"/>
  <c r="B929" s="1"/>
  <c r="B1115" s="1"/>
  <c r="B1301" s="1"/>
  <c r="B186"/>
  <c r="B372" s="1"/>
  <c r="B558" s="1"/>
  <c r="B744" s="1"/>
  <c r="B930" s="1"/>
  <c r="B1116" s="1"/>
  <c r="B1302" s="1"/>
  <c r="B187"/>
  <c r="B373"/>
  <c r="B559" s="1"/>
  <c r="B745"/>
  <c r="B931" s="1"/>
  <c r="B1117" s="1"/>
  <c r="B1303" s="1"/>
  <c r="B188"/>
  <c r="B374" s="1"/>
  <c r="B560" s="1"/>
  <c r="B746" s="1"/>
  <c r="B932" s="1"/>
  <c r="B1118" s="1"/>
  <c r="B1304" s="1"/>
  <c r="B189"/>
  <c r="B375"/>
  <c r="B561" s="1"/>
  <c r="B747"/>
  <c r="B933" s="1"/>
  <c r="B1119" s="1"/>
  <c r="B1305"/>
  <c r="B190"/>
  <c r="B376" s="1"/>
  <c r="B562" s="1"/>
  <c r="B748" s="1"/>
  <c r="B934" s="1"/>
  <c r="B1120" s="1"/>
  <c r="B1306" s="1"/>
  <c r="B191"/>
  <c r="B377" s="1"/>
  <c r="B563" s="1"/>
  <c r="B749" s="1"/>
  <c r="B935" s="1"/>
  <c r="B1121" s="1"/>
  <c r="B1307" s="1"/>
  <c r="B192"/>
  <c r="B378"/>
  <c r="B564" s="1"/>
  <c r="B750" s="1"/>
  <c r="B936" s="1"/>
  <c r="B1122" s="1"/>
  <c r="B1308" s="1"/>
  <c r="B193"/>
  <c r="B379"/>
  <c r="B565" s="1"/>
  <c r="B751"/>
  <c r="B937" s="1"/>
  <c r="B1123" s="1"/>
  <c r="B1309" s="1"/>
  <c r="B194"/>
  <c r="B380" s="1"/>
  <c r="B566" s="1"/>
  <c r="B752" s="1"/>
  <c r="B938" s="1"/>
  <c r="B1124" s="1"/>
  <c r="B1310" s="1"/>
  <c r="B195"/>
  <c r="B381"/>
  <c r="B567" s="1"/>
  <c r="B753" s="1"/>
  <c r="B939" s="1"/>
  <c r="B1125"/>
  <c r="B1311" s="1"/>
  <c r="B196"/>
  <c r="B382" s="1"/>
  <c r="B568" s="1"/>
  <c r="B754" s="1"/>
  <c r="B940" s="1"/>
  <c r="B1126" s="1"/>
  <c r="B1312" s="1"/>
  <c r="B197"/>
  <c r="B383"/>
  <c r="B569" s="1"/>
  <c r="B755" s="1"/>
  <c r="B941" s="1"/>
  <c r="B1127" s="1"/>
  <c r="B1313" s="1"/>
  <c r="B198"/>
  <c r="B384" s="1"/>
  <c r="B570" s="1"/>
  <c r="B756" s="1"/>
  <c r="B942" s="1"/>
  <c r="B1128" s="1"/>
  <c r="B1314" s="1"/>
  <c r="H1314"/>
  <c r="B199"/>
  <c r="B385"/>
  <c r="B571" s="1"/>
  <c r="B757" s="1"/>
  <c r="B943" s="1"/>
  <c r="B1129" s="1"/>
  <c r="B1315" s="1"/>
  <c r="B200"/>
  <c r="B386" s="1"/>
  <c r="B572" s="1"/>
  <c r="B758" s="1"/>
  <c r="B944" s="1"/>
  <c r="B1130" s="1"/>
  <c r="B1316" s="1"/>
  <c r="B201"/>
  <c r="B387"/>
  <c r="B573"/>
  <c r="B759" s="1"/>
  <c r="B945" s="1"/>
  <c r="B1131" s="1"/>
  <c r="B1317" s="1"/>
  <c r="B202"/>
  <c r="B388" s="1"/>
  <c r="B574" s="1"/>
  <c r="B760" s="1"/>
  <c r="B946" s="1"/>
  <c r="B1132" s="1"/>
  <c r="B1318" s="1"/>
  <c r="B203"/>
  <c r="B389" s="1"/>
  <c r="B575" s="1"/>
  <c r="B761" s="1"/>
  <c r="B947" s="1"/>
  <c r="B1133" s="1"/>
  <c r="B1319" s="1"/>
  <c r="B175" i="9"/>
  <c r="B360" s="1"/>
  <c r="B546" s="1"/>
  <c r="B732" s="1"/>
  <c r="B918" s="1"/>
  <c r="B1104" s="1"/>
  <c r="B1290" s="1"/>
  <c r="B176"/>
  <c r="B361"/>
  <c r="B547" s="1"/>
  <c r="B733" s="1"/>
  <c r="B919" s="1"/>
  <c r="B1105" s="1"/>
  <c r="B1291" s="1"/>
  <c r="B177"/>
  <c r="B362" s="1"/>
  <c r="B548"/>
  <c r="B734"/>
  <c r="B920" s="1"/>
  <c r="B1106" s="1"/>
  <c r="B1292" s="1"/>
  <c r="B178"/>
  <c r="B363" s="1"/>
  <c r="B549" s="1"/>
  <c r="B735" s="1"/>
  <c r="B921" s="1"/>
  <c r="B1107" s="1"/>
  <c r="B1293" s="1"/>
  <c r="B179"/>
  <c r="B364" s="1"/>
  <c r="B550"/>
  <c r="B736" s="1"/>
  <c r="B922" s="1"/>
  <c r="B1108"/>
  <c r="B1294" s="1"/>
  <c r="B180"/>
  <c r="B365" s="1"/>
  <c r="B551" s="1"/>
  <c r="B737" s="1"/>
  <c r="B923" s="1"/>
  <c r="B1109" s="1"/>
  <c r="B1295" s="1"/>
  <c r="B181"/>
  <c r="B366"/>
  <c r="B552" s="1"/>
  <c r="B738" s="1"/>
  <c r="B924" s="1"/>
  <c r="B1110" s="1"/>
  <c r="B1296" s="1"/>
  <c r="B182"/>
  <c r="B367" s="1"/>
  <c r="B553" s="1"/>
  <c r="B739" s="1"/>
  <c r="B925" s="1"/>
  <c r="B1111" s="1"/>
  <c r="B1297" s="1"/>
  <c r="B183"/>
  <c r="B368" s="1"/>
  <c r="B554" s="1"/>
  <c r="B740" s="1"/>
  <c r="B926" s="1"/>
  <c r="B1112" s="1"/>
  <c r="B1298" s="1"/>
  <c r="B184"/>
  <c r="B369"/>
  <c r="B555" s="1"/>
  <c r="B741" s="1"/>
  <c r="B927" s="1"/>
  <c r="B1113" s="1"/>
  <c r="B1299" s="1"/>
  <c r="B185"/>
  <c r="B370" s="1"/>
  <c r="B556" s="1"/>
  <c r="B742" s="1"/>
  <c r="B928" s="1"/>
  <c r="B1114" s="1"/>
  <c r="B1300" s="1"/>
  <c r="B186"/>
  <c r="B371" s="1"/>
  <c r="B557" s="1"/>
  <c r="B743" s="1"/>
  <c r="B929" s="1"/>
  <c r="B1115" s="1"/>
  <c r="B1301" s="1"/>
  <c r="B187"/>
  <c r="B372" s="1"/>
  <c r="B558" s="1"/>
  <c r="B744" s="1"/>
  <c r="B930" s="1"/>
  <c r="B1116"/>
  <c r="B1302" s="1"/>
  <c r="B188"/>
  <c r="B373" s="1"/>
  <c r="B559"/>
  <c r="B745" s="1"/>
  <c r="B931" s="1"/>
  <c r="B1117" s="1"/>
  <c r="B1303" s="1"/>
  <c r="B189"/>
  <c r="B374" s="1"/>
  <c r="B560" s="1"/>
  <c r="B746" s="1"/>
  <c r="B932" s="1"/>
  <c r="B1118" s="1"/>
  <c r="B1304" s="1"/>
  <c r="B190"/>
  <c r="B375"/>
  <c r="B561" s="1"/>
  <c r="B747" s="1"/>
  <c r="B933" s="1"/>
  <c r="B1119" s="1"/>
  <c r="B1305" s="1"/>
  <c r="B191"/>
  <c r="B376" s="1"/>
  <c r="B562"/>
  <c r="B748" s="1"/>
  <c r="B934" s="1"/>
  <c r="B1120" s="1"/>
  <c r="B1306" s="1"/>
  <c r="B192"/>
  <c r="B377"/>
  <c r="B563" s="1"/>
  <c r="B749"/>
  <c r="B935" s="1"/>
  <c r="B1121"/>
  <c r="B1307" s="1"/>
  <c r="B193"/>
  <c r="B378" s="1"/>
  <c r="B564" s="1"/>
  <c r="B750"/>
  <c r="B936" s="1"/>
  <c r="B1122" s="1"/>
  <c r="B1308" s="1"/>
  <c r="B194"/>
  <c r="B379" s="1"/>
  <c r="B565" s="1"/>
  <c r="B751" s="1"/>
  <c r="B937" s="1"/>
  <c r="B1123"/>
  <c r="B1309" s="1"/>
  <c r="B195"/>
  <c r="B380"/>
  <c r="B566" s="1"/>
  <c r="B752" s="1"/>
  <c r="B938" s="1"/>
  <c r="B1124" s="1"/>
  <c r="B1310" s="1"/>
  <c r="B196"/>
  <c r="B381" s="1"/>
  <c r="B567" s="1"/>
  <c r="B753" s="1"/>
  <c r="B939" s="1"/>
  <c r="B1125" s="1"/>
  <c r="B1311" s="1"/>
  <c r="B197"/>
  <c r="B382" s="1"/>
  <c r="B568" s="1"/>
  <c r="B754" s="1"/>
  <c r="B940"/>
  <c r="B1126" s="1"/>
  <c r="B1312"/>
  <c r="B198"/>
  <c r="B383" s="1"/>
  <c r="B569" s="1"/>
  <c r="B755" s="1"/>
  <c r="B941" s="1"/>
  <c r="B1127" s="1"/>
  <c r="B1313" s="1"/>
  <c r="B199"/>
  <c r="B384"/>
  <c r="B570"/>
  <c r="B756" s="1"/>
  <c r="B942" s="1"/>
  <c r="B1128" s="1"/>
  <c r="B1314" s="1"/>
  <c r="B200"/>
  <c r="B385"/>
  <c r="B571"/>
  <c r="B757" s="1"/>
  <c r="B943" s="1"/>
  <c r="B1129" s="1"/>
  <c r="B1315" s="1"/>
  <c r="B201"/>
  <c r="B386" s="1"/>
  <c r="B572" s="1"/>
  <c r="B758" s="1"/>
  <c r="B944"/>
  <c r="B1130" s="1"/>
  <c r="B1316" s="1"/>
  <c r="B202"/>
  <c r="B387" s="1"/>
  <c r="B573" s="1"/>
  <c r="B759" s="1"/>
  <c r="B945" s="1"/>
  <c r="B1131" s="1"/>
  <c r="B1317" s="1"/>
  <c r="B203"/>
  <c r="B388" s="1"/>
  <c r="B574" s="1"/>
  <c r="B760" s="1"/>
  <c r="B946" s="1"/>
  <c r="B1132" s="1"/>
  <c r="B1318" s="1"/>
  <c r="B204"/>
  <c r="B389" s="1"/>
  <c r="B575"/>
  <c r="B761" s="1"/>
  <c r="B947" s="1"/>
  <c r="B1133" s="1"/>
  <c r="B1319" s="1"/>
  <c r="B23"/>
  <c r="B208" s="1"/>
  <c r="B394"/>
  <c r="B580" s="1"/>
  <c r="B766" s="1"/>
  <c r="B952" s="1"/>
  <c r="B1138" s="1"/>
  <c r="B24"/>
  <c r="B209" s="1"/>
  <c r="B395"/>
  <c r="B581" s="1"/>
  <c r="B767" s="1"/>
  <c r="B953" s="1"/>
  <c r="B1139" s="1"/>
  <c r="B25"/>
  <c r="B210" s="1"/>
  <c r="B396" s="1"/>
  <c r="B582" s="1"/>
  <c r="B768" s="1"/>
  <c r="B954" s="1"/>
  <c r="B1140" s="1"/>
  <c r="B26"/>
  <c r="B211"/>
  <c r="B397" s="1"/>
  <c r="B583" s="1"/>
  <c r="B769" s="1"/>
  <c r="B955"/>
  <c r="B1141" s="1"/>
  <c r="B27"/>
  <c r="B212" s="1"/>
  <c r="B398"/>
  <c r="B584" s="1"/>
  <c r="B770" s="1"/>
  <c r="B956" s="1"/>
  <c r="B1142" s="1"/>
  <c r="B28"/>
  <c r="B213" s="1"/>
  <c r="B399" s="1"/>
  <c r="B585" s="1"/>
  <c r="B771" s="1"/>
  <c r="B957" s="1"/>
  <c r="B1143" s="1"/>
  <c r="B29"/>
  <c r="B214" s="1"/>
  <c r="B400" s="1"/>
  <c r="B586" s="1"/>
  <c r="B772" s="1"/>
  <c r="B958"/>
  <c r="B1144"/>
  <c r="B30"/>
  <c r="B215" s="1"/>
  <c r="B401" s="1"/>
  <c r="B587" s="1"/>
  <c r="B773" s="1"/>
  <c r="B959" s="1"/>
  <c r="B1145" s="1"/>
  <c r="B31"/>
  <c r="B216" s="1"/>
  <c r="B402" s="1"/>
  <c r="B588" s="1"/>
  <c r="B774" s="1"/>
  <c r="B960" s="1"/>
  <c r="B1146" s="1"/>
  <c r="B32"/>
  <c r="B217" s="1"/>
  <c r="B403"/>
  <c r="B589" s="1"/>
  <c r="B775" s="1"/>
  <c r="B961" s="1"/>
  <c r="B1147" s="1"/>
  <c r="B33"/>
  <c r="B218" s="1"/>
  <c r="B404"/>
  <c r="B590" s="1"/>
  <c r="B776" s="1"/>
  <c r="B962" s="1"/>
  <c r="B1148" s="1"/>
  <c r="B34"/>
  <c r="B219"/>
  <c r="B405" s="1"/>
  <c r="B591"/>
  <c r="B777" s="1"/>
  <c r="B963" s="1"/>
  <c r="B1149" s="1"/>
  <c r="B35"/>
  <c r="B220" s="1"/>
  <c r="B406" s="1"/>
  <c r="B592" s="1"/>
  <c r="B778" s="1"/>
  <c r="B964"/>
  <c r="B1150" s="1"/>
  <c r="B36"/>
  <c r="B221"/>
  <c r="B407" s="1"/>
  <c r="B593" s="1"/>
  <c r="B779" s="1"/>
  <c r="B965" s="1"/>
  <c r="B1151" s="1"/>
  <c r="B37"/>
  <c r="B222" s="1"/>
  <c r="B408" s="1"/>
  <c r="B594" s="1"/>
  <c r="B780" s="1"/>
  <c r="B966" s="1"/>
  <c r="B1152" s="1"/>
  <c r="B38"/>
  <c r="B223" s="1"/>
  <c r="B409" s="1"/>
  <c r="B595" s="1"/>
  <c r="B781" s="1"/>
  <c r="B967"/>
  <c r="B1153" s="1"/>
  <c r="B39"/>
  <c r="B224" s="1"/>
  <c r="B410" s="1"/>
  <c r="B596" s="1"/>
  <c r="B782" s="1"/>
  <c r="B968" s="1"/>
  <c r="B1154" s="1"/>
  <c r="B40"/>
  <c r="B225" s="1"/>
  <c r="B411"/>
  <c r="B597" s="1"/>
  <c r="B783" s="1"/>
  <c r="B969" s="1"/>
  <c r="B1155" s="1"/>
  <c r="B41"/>
  <c r="B226" s="1"/>
  <c r="B412"/>
  <c r="B598" s="1"/>
  <c r="B784" s="1"/>
  <c r="B970" s="1"/>
  <c r="B1156" s="1"/>
  <c r="B42"/>
  <c r="B227"/>
  <c r="B413" s="1"/>
  <c r="B599" s="1"/>
  <c r="B785"/>
  <c r="B971" s="1"/>
  <c r="B1157" s="1"/>
  <c r="B43"/>
  <c r="B228" s="1"/>
  <c r="B414" s="1"/>
  <c r="B600" s="1"/>
  <c r="B786" s="1"/>
  <c r="B972" s="1"/>
  <c r="B1158" s="1"/>
  <c r="B44"/>
  <c r="B229" s="1"/>
  <c r="B415" s="1"/>
  <c r="B601" s="1"/>
  <c r="B787" s="1"/>
  <c r="B973"/>
  <c r="B1159" s="1"/>
  <c r="B45"/>
  <c r="B230"/>
  <c r="B416"/>
  <c r="B602" s="1"/>
  <c r="B788" s="1"/>
  <c r="B974" s="1"/>
  <c r="B1160" s="1"/>
  <c r="B46"/>
  <c r="B231" s="1"/>
  <c r="B417"/>
  <c r="B603" s="1"/>
  <c r="B789" s="1"/>
  <c r="B975" s="1"/>
  <c r="B1161" s="1"/>
  <c r="B47"/>
  <c r="B232" s="1"/>
  <c r="B418"/>
  <c r="B604" s="1"/>
  <c r="B790"/>
  <c r="B976" s="1"/>
  <c r="B1162"/>
  <c r="B48"/>
  <c r="B233" s="1"/>
  <c r="B419"/>
  <c r="B605" s="1"/>
  <c r="B791" s="1"/>
  <c r="B977" s="1"/>
  <c r="B1163" s="1"/>
  <c r="B49"/>
  <c r="B234" s="1"/>
  <c r="B420" s="1"/>
  <c r="B606" s="1"/>
  <c r="B792" s="1"/>
  <c r="B978" s="1"/>
  <c r="B1164" s="1"/>
  <c r="B50"/>
  <c r="B235"/>
  <c r="B421" s="1"/>
  <c r="B607"/>
  <c r="B793" s="1"/>
  <c r="B979" s="1"/>
  <c r="B1165" s="1"/>
  <c r="B51"/>
  <c r="B236" s="1"/>
  <c r="B422" s="1"/>
  <c r="B608" s="1"/>
  <c r="B794" s="1"/>
  <c r="B980" s="1"/>
  <c r="B1166" s="1"/>
  <c r="B52"/>
  <c r="B237" s="1"/>
  <c r="B423" s="1"/>
  <c r="B609" s="1"/>
  <c r="B795" s="1"/>
  <c r="B981" s="1"/>
  <c r="B1167" s="1"/>
  <c r="B53"/>
  <c r="B238" s="1"/>
  <c r="B424"/>
  <c r="B610" s="1"/>
  <c r="B796" s="1"/>
  <c r="B982" s="1"/>
  <c r="B1168" s="1"/>
  <c r="B54"/>
  <c r="B239"/>
  <c r="B425" s="1"/>
  <c r="B611" s="1"/>
  <c r="B797" s="1"/>
  <c r="B983" s="1"/>
  <c r="B1169" s="1"/>
  <c r="B55"/>
  <c r="B240" s="1"/>
  <c r="B426"/>
  <c r="B612"/>
  <c r="B798"/>
  <c r="B984" s="1"/>
  <c r="B1170" s="1"/>
  <c r="B56"/>
  <c r="B241" s="1"/>
  <c r="B427"/>
  <c r="B613" s="1"/>
  <c r="B799" s="1"/>
  <c r="B985" s="1"/>
  <c r="B1171" s="1"/>
  <c r="B57"/>
  <c r="B242" s="1"/>
  <c r="B428"/>
  <c r="B614" s="1"/>
  <c r="B800" s="1"/>
  <c r="B986" s="1"/>
  <c r="B1172" s="1"/>
  <c r="B58"/>
  <c r="B243"/>
  <c r="B429" s="1"/>
  <c r="B615" s="1"/>
  <c r="B801" s="1"/>
  <c r="B987" s="1"/>
  <c r="B1173" s="1"/>
  <c r="B59"/>
  <c r="B244" s="1"/>
  <c r="B430"/>
  <c r="B616"/>
  <c r="B802" s="1"/>
  <c r="B988" s="1"/>
  <c r="B1174" s="1"/>
  <c r="B60"/>
  <c r="B245" s="1"/>
  <c r="B431" s="1"/>
  <c r="B617"/>
  <c r="B803" s="1"/>
  <c r="B989"/>
  <c r="B1175" s="1"/>
  <c r="B61"/>
  <c r="B246" s="1"/>
  <c r="B432"/>
  <c r="B618" s="1"/>
  <c r="B804" s="1"/>
  <c r="B990" s="1"/>
  <c r="B1176" s="1"/>
  <c r="B62"/>
  <c r="B247" s="1"/>
  <c r="B433"/>
  <c r="B619" s="1"/>
  <c r="B805" s="1"/>
  <c r="B991" s="1"/>
  <c r="B1177" s="1"/>
  <c r="B63"/>
  <c r="B248" s="1"/>
  <c r="B434" s="1"/>
  <c r="B620" s="1"/>
  <c r="B806" s="1"/>
  <c r="B992" s="1"/>
  <c r="B1178" s="1"/>
  <c r="B64"/>
  <c r="B249" s="1"/>
  <c r="B435" s="1"/>
  <c r="B621" s="1"/>
  <c r="B807" s="1"/>
  <c r="B993" s="1"/>
  <c r="B1179" s="1"/>
  <c r="B65"/>
  <c r="B250" s="1"/>
  <c r="B436" s="1"/>
  <c r="B622" s="1"/>
  <c r="B808"/>
  <c r="B994" s="1"/>
  <c r="B1180" s="1"/>
  <c r="B66"/>
  <c r="B251"/>
  <c r="B437" s="1"/>
  <c r="B623" s="1"/>
  <c r="B809" s="1"/>
  <c r="B995" s="1"/>
  <c r="B1181" s="1"/>
  <c r="B67"/>
  <c r="B252" s="1"/>
  <c r="B438" s="1"/>
  <c r="B624" s="1"/>
  <c r="B810" s="1"/>
  <c r="B996" s="1"/>
  <c r="B1182" s="1"/>
  <c r="B68"/>
  <c r="B253"/>
  <c r="B439" s="1"/>
  <c r="B625" s="1"/>
  <c r="B811" s="1"/>
  <c r="B997"/>
  <c r="B1183" s="1"/>
  <c r="B69"/>
  <c r="B254" s="1"/>
  <c r="B440"/>
  <c r="B626" s="1"/>
  <c r="B812" s="1"/>
  <c r="B998" s="1"/>
  <c r="B1184" s="1"/>
  <c r="B70"/>
  <c r="B255" s="1"/>
  <c r="B441"/>
  <c r="B627" s="1"/>
  <c r="B813" s="1"/>
  <c r="B999" s="1"/>
  <c r="B1185"/>
  <c r="B71"/>
  <c r="B256" s="1"/>
  <c r="B442"/>
  <c r="B628" s="1"/>
  <c r="B814" s="1"/>
  <c r="B1000" s="1"/>
  <c r="B1186" s="1"/>
  <c r="B72"/>
  <c r="B257" s="1"/>
  <c r="B443" s="1"/>
  <c r="B629" s="1"/>
  <c r="B815" s="1"/>
  <c r="B1001" s="1"/>
  <c r="B1187" s="1"/>
  <c r="B73"/>
  <c r="B258" s="1"/>
  <c r="B444" s="1"/>
  <c r="B630"/>
  <c r="B816" s="1"/>
  <c r="B1002" s="1"/>
  <c r="B1188" s="1"/>
  <c r="B74"/>
  <c r="B259"/>
  <c r="B445" s="1"/>
  <c r="B631" s="1"/>
  <c r="B817" s="1"/>
  <c r="B1003" s="1"/>
  <c r="B1189" s="1"/>
  <c r="B75"/>
  <c r="B260" s="1"/>
  <c r="B446" s="1"/>
  <c r="B632" s="1"/>
  <c r="B818" s="1"/>
  <c r="B1004" s="1"/>
  <c r="B1190" s="1"/>
  <c r="B76"/>
  <c r="B261" s="1"/>
  <c r="B447" s="1"/>
  <c r="B633" s="1"/>
  <c r="B819" s="1"/>
  <c r="B1005"/>
  <c r="B1191" s="1"/>
  <c r="B77"/>
  <c r="B262"/>
  <c r="B448" s="1"/>
  <c r="B634" s="1"/>
  <c r="B820" s="1"/>
  <c r="B1006" s="1"/>
  <c r="B1192" s="1"/>
  <c r="B78"/>
  <c r="B263" s="1"/>
  <c r="B449"/>
  <c r="B635" s="1"/>
  <c r="B821" s="1"/>
  <c r="B1007" s="1"/>
  <c r="B1193" s="1"/>
  <c r="B79"/>
  <c r="B264" s="1"/>
  <c r="B450"/>
  <c r="B636" s="1"/>
  <c r="B822" s="1"/>
  <c r="B1008" s="1"/>
  <c r="B1194" s="1"/>
  <c r="B80"/>
  <c r="B265" s="1"/>
  <c r="B451"/>
  <c r="B637" s="1"/>
  <c r="B823" s="1"/>
  <c r="B1009" s="1"/>
  <c r="B1195" s="1"/>
  <c r="B81"/>
  <c r="B266" s="1"/>
  <c r="B452" s="1"/>
  <c r="B638" s="1"/>
  <c r="B824" s="1"/>
  <c r="B1010" s="1"/>
  <c r="B1196"/>
  <c r="B82"/>
  <c r="B267"/>
  <c r="B453" s="1"/>
  <c r="B639" s="1"/>
  <c r="B825" s="1"/>
  <c r="B1011" s="1"/>
  <c r="B1197" s="1"/>
  <c r="B83"/>
  <c r="B268" s="1"/>
  <c r="B454" s="1"/>
  <c r="B640"/>
  <c r="B826" s="1"/>
  <c r="B1012" s="1"/>
  <c r="B1198" s="1"/>
  <c r="B84"/>
  <c r="B269" s="1"/>
  <c r="B455" s="1"/>
  <c r="B641" s="1"/>
  <c r="B827" s="1"/>
  <c r="B1013"/>
  <c r="B1199" s="1"/>
  <c r="B85"/>
  <c r="B270" s="1"/>
  <c r="B456" s="1"/>
  <c r="B642" s="1"/>
  <c r="B828" s="1"/>
  <c r="B1014" s="1"/>
  <c r="B1200" s="1"/>
  <c r="B86"/>
  <c r="B271"/>
  <c r="B457" s="1"/>
  <c r="B643" s="1"/>
  <c r="B829" s="1"/>
  <c r="B1015" s="1"/>
  <c r="B1201" s="1"/>
  <c r="B87"/>
  <c r="B272" s="1"/>
  <c r="B458"/>
  <c r="B644" s="1"/>
  <c r="B830" s="1"/>
  <c r="B1016" s="1"/>
  <c r="B1202" s="1"/>
  <c r="B88"/>
  <c r="B273" s="1"/>
  <c r="B459" s="1"/>
  <c r="B645" s="1"/>
  <c r="B831" s="1"/>
  <c r="B1017" s="1"/>
  <c r="B1203" s="1"/>
  <c r="B89"/>
  <c r="B274" s="1"/>
  <c r="B460" s="1"/>
  <c r="B646" s="1"/>
  <c r="B832" s="1"/>
  <c r="B1018" s="1"/>
  <c r="B1204" s="1"/>
  <c r="B90"/>
  <c r="B275"/>
  <c r="B461" s="1"/>
  <c r="B647"/>
  <c r="B833" s="1"/>
  <c r="B1019" s="1"/>
  <c r="B1205" s="1"/>
  <c r="B91"/>
  <c r="B276" s="1"/>
  <c r="B462"/>
  <c r="B648" s="1"/>
  <c r="B834" s="1"/>
  <c r="B1020" s="1"/>
  <c r="B1206" s="1"/>
  <c r="B92"/>
  <c r="B277" s="1"/>
  <c r="B463" s="1"/>
  <c r="B649"/>
  <c r="B835" s="1"/>
  <c r="B1021" s="1"/>
  <c r="B1207" s="1"/>
  <c r="B93"/>
  <c r="B278" s="1"/>
  <c r="B464" s="1"/>
  <c r="B650" s="1"/>
  <c r="B836" s="1"/>
  <c r="B1022" s="1"/>
  <c r="B1208" s="1"/>
  <c r="B94"/>
  <c r="B279" s="1"/>
  <c r="B465" s="1"/>
  <c r="B651" s="1"/>
  <c r="B837" s="1"/>
  <c r="B1023" s="1"/>
  <c r="B1209" s="1"/>
  <c r="B95"/>
  <c r="B280"/>
  <c r="B466" s="1"/>
  <c r="B652" s="1"/>
  <c r="B838"/>
  <c r="B1024" s="1"/>
  <c r="B1210" s="1"/>
  <c r="B96"/>
  <c r="B281" s="1"/>
  <c r="B467" s="1"/>
  <c r="B653" s="1"/>
  <c r="B839" s="1"/>
  <c r="B1025" s="1"/>
  <c r="B1211" s="1"/>
  <c r="B97"/>
  <c r="B282" s="1"/>
  <c r="B468"/>
  <c r="B654" s="1"/>
  <c r="B840" s="1"/>
  <c r="B1026" s="1"/>
  <c r="B1212" s="1"/>
  <c r="B98"/>
  <c r="B283"/>
  <c r="B469"/>
  <c r="B655" s="1"/>
  <c r="B841" s="1"/>
  <c r="B1027" s="1"/>
  <c r="B1213" s="1"/>
  <c r="B99"/>
  <c r="B284" s="1"/>
  <c r="B470" s="1"/>
  <c r="B656" s="1"/>
  <c r="B842" s="1"/>
  <c r="B1028" s="1"/>
  <c r="B1214" s="1"/>
  <c r="B100"/>
  <c r="B285" s="1"/>
  <c r="B471" s="1"/>
  <c r="B657"/>
  <c r="B843" s="1"/>
  <c r="B1029"/>
  <c r="B1215" s="1"/>
  <c r="B101"/>
  <c r="B286" s="1"/>
  <c r="B472"/>
  <c r="B658" s="1"/>
  <c r="B844" s="1"/>
  <c r="B1030" s="1"/>
  <c r="B1216" s="1"/>
  <c r="B102"/>
  <c r="B287"/>
  <c r="B473"/>
  <c r="B659" s="1"/>
  <c r="B845" s="1"/>
  <c r="B1031"/>
  <c r="B1217" s="1"/>
  <c r="B103"/>
  <c r="B288" s="1"/>
  <c r="B474" s="1"/>
  <c r="B660" s="1"/>
  <c r="B846" s="1"/>
  <c r="B1032" s="1"/>
  <c r="B1218" s="1"/>
  <c r="B104"/>
  <c r="B289" s="1"/>
  <c r="B475" s="1"/>
  <c r="B661" s="1"/>
  <c r="B847" s="1"/>
  <c r="B1033" s="1"/>
  <c r="B1219" s="1"/>
  <c r="B105"/>
  <c r="B290" s="1"/>
  <c r="B476"/>
  <c r="B662" s="1"/>
  <c r="B848"/>
  <c r="B1034" s="1"/>
  <c r="B1220"/>
  <c r="B106"/>
  <c r="B291"/>
  <c r="B477" s="1"/>
  <c r="B663"/>
  <c r="B849" s="1"/>
  <c r="B1035"/>
  <c r="B1221" s="1"/>
  <c r="B107"/>
  <c r="B292" s="1"/>
  <c r="B478"/>
  <c r="B664"/>
  <c r="B850" s="1"/>
  <c r="B1036"/>
  <c r="B1222" s="1"/>
  <c r="B108"/>
  <c r="B293" s="1"/>
  <c r="B479" s="1"/>
  <c r="B665" s="1"/>
  <c r="B851" s="1"/>
  <c r="B1037" s="1"/>
  <c r="B1223" s="1"/>
  <c r="B109"/>
  <c r="B294"/>
  <c r="B480" s="1"/>
  <c r="B666" s="1"/>
  <c r="B852" s="1"/>
  <c r="B1038" s="1"/>
  <c r="B1224" s="1"/>
  <c r="B110"/>
  <c r="B295" s="1"/>
  <c r="B481"/>
  <c r="B667" s="1"/>
  <c r="B853" s="1"/>
  <c r="B1039"/>
  <c r="B1225" s="1"/>
  <c r="B111"/>
  <c r="B296" s="1"/>
  <c r="B482" s="1"/>
  <c r="B668" s="1"/>
  <c r="B854" s="1"/>
  <c r="B1040" s="1"/>
  <c r="B1226" s="1"/>
  <c r="B112"/>
  <c r="B297" s="1"/>
  <c r="B483" s="1"/>
  <c r="B669"/>
  <c r="B855" s="1"/>
  <c r="B1041" s="1"/>
  <c r="B1227" s="1"/>
  <c r="B113"/>
  <c r="B298" s="1"/>
  <c r="B484" s="1"/>
  <c r="B670" s="1"/>
  <c r="B856" s="1"/>
  <c r="B1042"/>
  <c r="B1228" s="1"/>
  <c r="B114"/>
  <c r="B299"/>
  <c r="B485" s="1"/>
  <c r="B671" s="1"/>
  <c r="B857" s="1"/>
  <c r="B1043" s="1"/>
  <c r="B1229" s="1"/>
  <c r="B115"/>
  <c r="B300" s="1"/>
  <c r="B486" s="1"/>
  <c r="B672" s="1"/>
  <c r="B858"/>
  <c r="B1044" s="1"/>
  <c r="B1230" s="1"/>
  <c r="B116"/>
  <c r="B301" s="1"/>
  <c r="B487" s="1"/>
  <c r="B673" s="1"/>
  <c r="B859" s="1"/>
  <c r="B1045" s="1"/>
  <c r="B1231"/>
  <c r="B117"/>
  <c r="B302" s="1"/>
  <c r="B488"/>
  <c r="B674" s="1"/>
  <c r="B860" s="1"/>
  <c r="B1046" s="1"/>
  <c r="B1232" s="1"/>
  <c r="B118"/>
  <c r="B303"/>
  <c r="B489" s="1"/>
  <c r="B675" s="1"/>
  <c r="B861" s="1"/>
  <c r="B1047"/>
  <c r="B1233" s="1"/>
  <c r="B119"/>
  <c r="B304" s="1"/>
  <c r="B490"/>
  <c r="B676" s="1"/>
  <c r="B862" s="1"/>
  <c r="B1048" s="1"/>
  <c r="B1234" s="1"/>
  <c r="B120"/>
  <c r="B305" s="1"/>
  <c r="B491" s="1"/>
  <c r="B677" s="1"/>
  <c r="B863" s="1"/>
  <c r="B1049" s="1"/>
  <c r="B1235" s="1"/>
  <c r="B121"/>
  <c r="B306" s="1"/>
  <c r="B492"/>
  <c r="B678" s="1"/>
  <c r="B864" s="1"/>
  <c r="B1050" s="1"/>
  <c r="B1236" s="1"/>
  <c r="B122"/>
  <c r="B307"/>
  <c r="B493" s="1"/>
  <c r="B679"/>
  <c r="B865" s="1"/>
  <c r="B1051" s="1"/>
  <c r="B1237" s="1"/>
  <c r="B123"/>
  <c r="B308" s="1"/>
  <c r="B494"/>
  <c r="B680" s="1"/>
  <c r="B866" s="1"/>
  <c r="B1052"/>
  <c r="B1238" s="1"/>
  <c r="B124"/>
  <c r="B309" s="1"/>
  <c r="B495" s="1"/>
  <c r="B681" s="1"/>
  <c r="B867" s="1"/>
  <c r="B1053" s="1"/>
  <c r="B1239" s="1"/>
  <c r="B125"/>
  <c r="B310" s="1"/>
  <c r="B496" s="1"/>
  <c r="B682" s="1"/>
  <c r="B868" s="1"/>
  <c r="B1054" s="1"/>
  <c r="B1240" s="1"/>
  <c r="B126"/>
  <c r="B311" s="1"/>
  <c r="B497"/>
  <c r="B683" s="1"/>
  <c r="B869" s="1"/>
  <c r="B1055" s="1"/>
  <c r="B1241" s="1"/>
  <c r="B127"/>
  <c r="B312"/>
  <c r="B498" s="1"/>
  <c r="B684" s="1"/>
  <c r="B870" s="1"/>
  <c r="B1056" s="1"/>
  <c r="B1242" s="1"/>
  <c r="B128"/>
  <c r="B313" s="1"/>
  <c r="B499" s="1"/>
  <c r="B685" s="1"/>
  <c r="B871" s="1"/>
  <c r="B1057" s="1"/>
  <c r="B1243" s="1"/>
  <c r="B129"/>
  <c r="B314" s="1"/>
  <c r="B500" s="1"/>
  <c r="B686" s="1"/>
  <c r="B872" s="1"/>
  <c r="B1058" s="1"/>
  <c r="B1244" s="1"/>
  <c r="B130"/>
  <c r="B315"/>
  <c r="B501"/>
  <c r="B687" s="1"/>
  <c r="B873" s="1"/>
  <c r="B1059" s="1"/>
  <c r="B1245" s="1"/>
  <c r="B131"/>
  <c r="B316" s="1"/>
  <c r="B502" s="1"/>
  <c r="B688" s="1"/>
  <c r="B874" s="1"/>
  <c r="B1060" s="1"/>
  <c r="B1246" s="1"/>
  <c r="B132"/>
  <c r="B317" s="1"/>
  <c r="B503" s="1"/>
  <c r="B689"/>
  <c r="B875" s="1"/>
  <c r="B1061" s="1"/>
  <c r="B1247" s="1"/>
  <c r="B133"/>
  <c r="B318" s="1"/>
  <c r="B504"/>
  <c r="B690" s="1"/>
  <c r="B876" s="1"/>
  <c r="B1062"/>
  <c r="B1248" s="1"/>
  <c r="B134"/>
  <c r="B319"/>
  <c r="B505"/>
  <c r="B691" s="1"/>
  <c r="B877" s="1"/>
  <c r="B1063" s="1"/>
  <c r="B1249" s="1"/>
  <c r="B135"/>
  <c r="B320" s="1"/>
  <c r="B506" s="1"/>
  <c r="B692" s="1"/>
  <c r="B878" s="1"/>
  <c r="B1064" s="1"/>
  <c r="B1250" s="1"/>
  <c r="B136"/>
  <c r="B321"/>
  <c r="B507" s="1"/>
  <c r="B693" s="1"/>
  <c r="B879" s="1"/>
  <c r="B1065" s="1"/>
  <c r="B1251" s="1"/>
  <c r="B137"/>
  <c r="B322" s="1"/>
  <c r="B508"/>
  <c r="B694" s="1"/>
  <c r="B880"/>
  <c r="B1066" s="1"/>
  <c r="B1252" s="1"/>
  <c r="B138"/>
  <c r="B323"/>
  <c r="B509" s="1"/>
  <c r="B695"/>
  <c r="B881" s="1"/>
  <c r="B1067" s="1"/>
  <c r="B1253" s="1"/>
  <c r="B139"/>
  <c r="B324" s="1"/>
  <c r="B510"/>
  <c r="B696"/>
  <c r="B882" s="1"/>
  <c r="B1068" s="1"/>
  <c r="B1254" s="1"/>
  <c r="B140"/>
  <c r="B325" s="1"/>
  <c r="B511" s="1"/>
  <c r="B697" s="1"/>
  <c r="B883" s="1"/>
  <c r="B1069" s="1"/>
  <c r="B1255" s="1"/>
  <c r="B141"/>
  <c r="B326" s="1"/>
  <c r="B512" s="1"/>
  <c r="B698" s="1"/>
  <c r="B884" s="1"/>
  <c r="B1070" s="1"/>
  <c r="B1256" s="1"/>
  <c r="B142"/>
  <c r="B327" s="1"/>
  <c r="B513" s="1"/>
  <c r="B699" s="1"/>
  <c r="B885" s="1"/>
  <c r="B1071" s="1"/>
  <c r="B1257" s="1"/>
  <c r="B143"/>
  <c r="B328"/>
  <c r="B514" s="1"/>
  <c r="B700" s="1"/>
  <c r="B886" s="1"/>
  <c r="B1072" s="1"/>
  <c r="B1258" s="1"/>
  <c r="B144"/>
  <c r="B329"/>
  <c r="B515"/>
  <c r="B701" s="1"/>
  <c r="B887" s="1"/>
  <c r="B1073" s="1"/>
  <c r="B1259" s="1"/>
  <c r="B145"/>
  <c r="B330"/>
  <c r="B516" s="1"/>
  <c r="B702" s="1"/>
  <c r="B888" s="1"/>
  <c r="B1074" s="1"/>
  <c r="B1260" s="1"/>
  <c r="B146"/>
  <c r="B331"/>
  <c r="B517"/>
  <c r="B703" s="1"/>
  <c r="B889" s="1"/>
  <c r="B1075" s="1"/>
  <c r="B1261" s="1"/>
  <c r="B147"/>
  <c r="B332" s="1"/>
  <c r="B518" s="1"/>
  <c r="B704"/>
  <c r="B890" s="1"/>
  <c r="B1076"/>
  <c r="B1262" s="1"/>
  <c r="B148"/>
  <c r="B333"/>
  <c r="B519" s="1"/>
  <c r="B705" s="1"/>
  <c r="B891" s="1"/>
  <c r="B1077" s="1"/>
  <c r="B1263" s="1"/>
  <c r="B149"/>
  <c r="B334"/>
  <c r="B520" s="1"/>
  <c r="B706" s="1"/>
  <c r="B892"/>
  <c r="B1078" s="1"/>
  <c r="B1264" s="1"/>
  <c r="B150"/>
  <c r="B335" s="1"/>
  <c r="B521" s="1"/>
  <c r="B707" s="1"/>
  <c r="B893" s="1"/>
  <c r="B1079"/>
  <c r="B1265" s="1"/>
  <c r="B151"/>
  <c r="B336" s="1"/>
  <c r="B522" s="1"/>
  <c r="B708" s="1"/>
  <c r="B894" s="1"/>
  <c r="B1080" s="1"/>
  <c r="B1266" s="1"/>
  <c r="B152"/>
  <c r="B337"/>
  <c r="B523" s="1"/>
  <c r="B709" s="1"/>
  <c r="B895" s="1"/>
  <c r="B1081" s="1"/>
  <c r="B1267" s="1"/>
  <c r="B153"/>
  <c r="B338" s="1"/>
  <c r="B524" s="1"/>
  <c r="B710" s="1"/>
  <c r="B896" s="1"/>
  <c r="B1082" s="1"/>
  <c r="B1268" s="1"/>
  <c r="B154"/>
  <c r="B339"/>
  <c r="B525" s="1"/>
  <c r="B711" s="1"/>
  <c r="B897" s="1"/>
  <c r="B1083" s="1"/>
  <c r="B1269" s="1"/>
  <c r="B155"/>
  <c r="B340" s="1"/>
  <c r="B526" s="1"/>
  <c r="B712" s="1"/>
  <c r="B898" s="1"/>
  <c r="B1084"/>
  <c r="B1270" s="1"/>
  <c r="B156"/>
  <c r="B341" s="1"/>
  <c r="B527" s="1"/>
  <c r="B713" s="1"/>
  <c r="B899" s="1"/>
  <c r="B1085" s="1"/>
  <c r="B1271" s="1"/>
  <c r="B157"/>
  <c r="B342"/>
  <c r="B528" s="1"/>
  <c r="B714" s="1"/>
  <c r="B900" s="1"/>
  <c r="B1086" s="1"/>
  <c r="B1272" s="1"/>
  <c r="B158"/>
  <c r="B343" s="1"/>
  <c r="B529"/>
  <c r="B715"/>
  <c r="B901" s="1"/>
  <c r="B1087"/>
  <c r="B1273" s="1"/>
  <c r="B159"/>
  <c r="B344"/>
  <c r="B530" s="1"/>
  <c r="B716" s="1"/>
  <c r="B902" s="1"/>
  <c r="B1088" s="1"/>
  <c r="B1274" s="1"/>
  <c r="B160"/>
  <c r="B345" s="1"/>
  <c r="B531"/>
  <c r="B717" s="1"/>
  <c r="B903" s="1"/>
  <c r="B1089" s="1"/>
  <c r="B1275" s="1"/>
  <c r="B161"/>
  <c r="B346" s="1"/>
  <c r="B532" s="1"/>
  <c r="B718" s="1"/>
  <c r="B904" s="1"/>
  <c r="B1090" s="1"/>
  <c r="B1276" s="1"/>
  <c r="B162"/>
  <c r="B347"/>
  <c r="B533"/>
  <c r="B719" s="1"/>
  <c r="B905" s="1"/>
  <c r="B1091"/>
  <c r="B1277"/>
  <c r="B163"/>
  <c r="B348" s="1"/>
  <c r="B534" s="1"/>
  <c r="B720" s="1"/>
  <c r="B906" s="1"/>
  <c r="B1092" s="1"/>
  <c r="B1278" s="1"/>
  <c r="B164"/>
  <c r="B349"/>
  <c r="B535" s="1"/>
  <c r="B721"/>
  <c r="B907" s="1"/>
  <c r="B1093" s="1"/>
  <c r="B1279" s="1"/>
  <c r="B165"/>
  <c r="B350" s="1"/>
  <c r="B536"/>
  <c r="B722" s="1"/>
  <c r="B908" s="1"/>
  <c r="B1094"/>
  <c r="B1280" s="1"/>
  <c r="B166"/>
  <c r="B351" s="1"/>
  <c r="B537" s="1"/>
  <c r="B723" s="1"/>
  <c r="B909" s="1"/>
  <c r="B1095" s="1"/>
  <c r="B1281" s="1"/>
  <c r="B167"/>
  <c r="B352"/>
  <c r="B538"/>
  <c r="B724"/>
  <c r="B910" s="1"/>
  <c r="B1096" s="1"/>
  <c r="B1282" s="1"/>
  <c r="B168"/>
  <c r="B353"/>
  <c r="B539" s="1"/>
  <c r="B725"/>
  <c r="B911" s="1"/>
  <c r="B1097" s="1"/>
  <c r="B1283" s="1"/>
  <c r="B169"/>
  <c r="B354"/>
  <c r="B540" s="1"/>
  <c r="B726"/>
  <c r="B912" s="1"/>
  <c r="B1098" s="1"/>
  <c r="B1284" s="1"/>
  <c r="B170"/>
  <c r="B355"/>
  <c r="B541"/>
  <c r="B727" s="1"/>
  <c r="B913" s="1"/>
  <c r="B1099" s="1"/>
  <c r="B1285" s="1"/>
  <c r="B171"/>
  <c r="B356" s="1"/>
  <c r="B542"/>
  <c r="B728" s="1"/>
  <c r="B914" s="1"/>
  <c r="B1100" s="1"/>
  <c r="B1286" s="1"/>
  <c r="B172"/>
  <c r="B357"/>
  <c r="B543" s="1"/>
  <c r="B729"/>
  <c r="B915" s="1"/>
  <c r="B1101" s="1"/>
  <c r="B1287" s="1"/>
  <c r="B173"/>
  <c r="B358"/>
  <c r="B544" s="1"/>
  <c r="B730" s="1"/>
  <c r="B916"/>
  <c r="B1102" s="1"/>
  <c r="B1288" s="1"/>
  <c r="B174"/>
  <c r="B359"/>
  <c r="B545" s="1"/>
  <c r="B731" s="1"/>
  <c r="B917" s="1"/>
  <c r="B1103" s="1"/>
  <c r="B1289" s="1"/>
  <c r="D576"/>
  <c r="D10" s="1"/>
  <c r="E104" i="41" s="1"/>
  <c r="E576" i="9"/>
  <c r="F576"/>
  <c r="G576"/>
  <c r="H576"/>
  <c r="U164" i="26"/>
  <c r="W164"/>
  <c r="H182"/>
  <c r="H183"/>
  <c r="H184"/>
  <c r="H185"/>
  <c r="U165"/>
  <c r="U166"/>
  <c r="U167"/>
  <c r="U168"/>
  <c r="U169"/>
  <c r="U170"/>
  <c r="U171"/>
  <c r="U172"/>
  <c r="U173"/>
  <c r="U174"/>
  <c r="U175"/>
  <c r="U176"/>
  <c r="U177"/>
  <c r="U178"/>
  <c r="U179"/>
  <c r="U180"/>
  <c r="U181"/>
  <c r="U182"/>
  <c r="U183"/>
  <c r="U184"/>
  <c r="U185"/>
  <c r="U5"/>
  <c r="U6"/>
  <c r="U7"/>
  <c r="U8"/>
  <c r="U9"/>
  <c r="U10"/>
  <c r="U11"/>
  <c r="U12"/>
  <c r="U13"/>
  <c r="U14"/>
  <c r="U15"/>
  <c r="U16"/>
  <c r="U17"/>
  <c r="U18"/>
  <c r="U19"/>
  <c r="U20"/>
  <c r="U21"/>
  <c r="U22"/>
  <c r="U23"/>
  <c r="U24"/>
  <c r="U25"/>
  <c r="U26"/>
  <c r="U27"/>
  <c r="U28"/>
  <c r="U29"/>
  <c r="U30"/>
  <c r="U31"/>
  <c r="U32"/>
  <c r="U33"/>
  <c r="U34"/>
  <c r="U35"/>
  <c r="U36"/>
  <c r="U37"/>
  <c r="U38"/>
  <c r="U39"/>
  <c r="U40"/>
  <c r="U41"/>
  <c r="U42"/>
  <c r="U43"/>
  <c r="U44"/>
  <c r="U45"/>
  <c r="U46"/>
  <c r="U47"/>
  <c r="U48"/>
  <c r="U49"/>
  <c r="U50"/>
  <c r="U51"/>
  <c r="U52"/>
  <c r="U53"/>
  <c r="U54"/>
  <c r="U55"/>
  <c r="U56"/>
  <c r="U57"/>
  <c r="U58"/>
  <c r="U59"/>
  <c r="U60"/>
  <c r="U61"/>
  <c r="U62"/>
  <c r="U63"/>
  <c r="U64"/>
  <c r="U65"/>
  <c r="U66"/>
  <c r="U67"/>
  <c r="U68"/>
  <c r="U69"/>
  <c r="U70"/>
  <c r="U71"/>
  <c r="U72"/>
  <c r="U73"/>
  <c r="U74"/>
  <c r="U75"/>
  <c r="U76"/>
  <c r="U77"/>
  <c r="U78"/>
  <c r="U79"/>
  <c r="U80"/>
  <c r="U81"/>
  <c r="U82"/>
  <c r="U83"/>
  <c r="U84"/>
  <c r="U85"/>
  <c r="U86"/>
  <c r="U87"/>
  <c r="U88"/>
  <c r="U89"/>
  <c r="U90"/>
  <c r="U91"/>
  <c r="U92"/>
  <c r="U93"/>
  <c r="U94"/>
  <c r="U95"/>
  <c r="U96"/>
  <c r="U97"/>
  <c r="U98"/>
  <c r="U99"/>
  <c r="U100"/>
  <c r="U101"/>
  <c r="U102"/>
  <c r="U103"/>
  <c r="U104"/>
  <c r="U105"/>
  <c r="U106"/>
  <c r="U107"/>
  <c r="U108"/>
  <c r="U109"/>
  <c r="U110"/>
  <c r="U111"/>
  <c r="U112"/>
  <c r="U113"/>
  <c r="U114"/>
  <c r="U115"/>
  <c r="U116"/>
  <c r="U117"/>
  <c r="U118"/>
  <c r="U119"/>
  <c r="U120"/>
  <c r="U121"/>
  <c r="U122"/>
  <c r="U123"/>
  <c r="U124"/>
  <c r="U125"/>
  <c r="U126"/>
  <c r="U127"/>
  <c r="U128"/>
  <c r="U129"/>
  <c r="U130"/>
  <c r="U131"/>
  <c r="U132"/>
  <c r="U133"/>
  <c r="U134"/>
  <c r="U135"/>
  <c r="U136"/>
  <c r="U137"/>
  <c r="U138"/>
  <c r="U139"/>
  <c r="U140"/>
  <c r="U141"/>
  <c r="U142"/>
  <c r="U143"/>
  <c r="U144"/>
  <c r="U145"/>
  <c r="U146"/>
  <c r="U147"/>
  <c r="U148"/>
  <c r="U149"/>
  <c r="U150"/>
  <c r="U151"/>
  <c r="U152"/>
  <c r="U153"/>
  <c r="U154"/>
  <c r="U155"/>
  <c r="U156"/>
  <c r="U157"/>
  <c r="U158"/>
  <c r="U159"/>
  <c r="U160"/>
  <c r="U161"/>
  <c r="U162"/>
  <c r="U163"/>
  <c r="W165"/>
  <c r="W166"/>
  <c r="W167"/>
  <c r="W168"/>
  <c r="W169"/>
  <c r="W170"/>
  <c r="W171"/>
  <c r="W172"/>
  <c r="W173"/>
  <c r="W174"/>
  <c r="W175"/>
  <c r="W176"/>
  <c r="W177"/>
  <c r="W178"/>
  <c r="W179"/>
  <c r="W180"/>
  <c r="W181"/>
  <c r="W182"/>
  <c r="W183"/>
  <c r="W184"/>
  <c r="W185"/>
  <c r="W5"/>
  <c r="W6"/>
  <c r="W7"/>
  <c r="W8"/>
  <c r="W9"/>
  <c r="W10"/>
  <c r="W11"/>
  <c r="W12"/>
  <c r="W13"/>
  <c r="W14"/>
  <c r="W15"/>
  <c r="W16"/>
  <c r="W17"/>
  <c r="W18"/>
  <c r="W19"/>
  <c r="W20"/>
  <c r="W21"/>
  <c r="W22"/>
  <c r="W23"/>
  <c r="W24"/>
  <c r="W25"/>
  <c r="W26"/>
  <c r="W27"/>
  <c r="W28"/>
  <c r="W29"/>
  <c r="W30"/>
  <c r="W31"/>
  <c r="W32"/>
  <c r="W33"/>
  <c r="W34"/>
  <c r="W35"/>
  <c r="W36"/>
  <c r="W37"/>
  <c r="W38"/>
  <c r="W39"/>
  <c r="W40"/>
  <c r="W41"/>
  <c r="W42"/>
  <c r="W43"/>
  <c r="W44"/>
  <c r="W45"/>
  <c r="W46"/>
  <c r="W47"/>
  <c r="W48"/>
  <c r="W49"/>
  <c r="W50"/>
  <c r="W51"/>
  <c r="W52"/>
  <c r="W53"/>
  <c r="W54"/>
  <c r="W55"/>
  <c r="W56"/>
  <c r="W57"/>
  <c r="W58"/>
  <c r="W59"/>
  <c r="W60"/>
  <c r="W61"/>
  <c r="W62"/>
  <c r="W63"/>
  <c r="W64"/>
  <c r="W65"/>
  <c r="W66"/>
  <c r="W67"/>
  <c r="W68"/>
  <c r="W69"/>
  <c r="W70"/>
  <c r="W71"/>
  <c r="W72"/>
  <c r="W73"/>
  <c r="W74"/>
  <c r="W75"/>
  <c r="W76"/>
  <c r="W77"/>
  <c r="W78"/>
  <c r="W79"/>
  <c r="W80"/>
  <c r="W81"/>
  <c r="W82"/>
  <c r="W83"/>
  <c r="W84"/>
  <c r="W85"/>
  <c r="W86"/>
  <c r="W87"/>
  <c r="W88"/>
  <c r="W89"/>
  <c r="W90"/>
  <c r="W91"/>
  <c r="W92"/>
  <c r="W93"/>
  <c r="W94"/>
  <c r="W95"/>
  <c r="W96"/>
  <c r="W97"/>
  <c r="W98"/>
  <c r="W99"/>
  <c r="W100"/>
  <c r="W101"/>
  <c r="W102"/>
  <c r="W103"/>
  <c r="W104"/>
  <c r="W105"/>
  <c r="W106"/>
  <c r="W107"/>
  <c r="W108"/>
  <c r="W109"/>
  <c r="W110"/>
  <c r="W111"/>
  <c r="W112"/>
  <c r="W113"/>
  <c r="W114"/>
  <c r="W115"/>
  <c r="W116"/>
  <c r="W117"/>
  <c r="W118"/>
  <c r="W119"/>
  <c r="W120"/>
  <c r="W121"/>
  <c r="W122"/>
  <c r="W123"/>
  <c r="W124"/>
  <c r="W125"/>
  <c r="W126"/>
  <c r="W127"/>
  <c r="W128"/>
  <c r="W129"/>
  <c r="W130"/>
  <c r="W131"/>
  <c r="W132"/>
  <c r="W133"/>
  <c r="W134"/>
  <c r="W135"/>
  <c r="W136"/>
  <c r="W137"/>
  <c r="W138"/>
  <c r="W139"/>
  <c r="W140"/>
  <c r="W141"/>
  <c r="W142"/>
  <c r="W143"/>
  <c r="W144"/>
  <c r="W145"/>
  <c r="W146"/>
  <c r="W147"/>
  <c r="W148"/>
  <c r="W149"/>
  <c r="W150"/>
  <c r="W151"/>
  <c r="W152"/>
  <c r="W153"/>
  <c r="W154"/>
  <c r="W155"/>
  <c r="W156"/>
  <c r="W157"/>
  <c r="W158"/>
  <c r="W159"/>
  <c r="W160"/>
  <c r="W161"/>
  <c r="W162"/>
  <c r="W163"/>
  <c r="A3" i="46"/>
  <c r="A2"/>
  <c r="H163" i="26"/>
  <c r="H164"/>
  <c r="H165"/>
  <c r="H166"/>
  <c r="H167"/>
  <c r="H168"/>
  <c r="H169"/>
  <c r="H170"/>
  <c r="H171"/>
  <c r="H172"/>
  <c r="H173"/>
  <c r="H174"/>
  <c r="H175"/>
  <c r="H176"/>
  <c r="H177"/>
  <c r="H178"/>
  <c r="H179"/>
  <c r="H180"/>
  <c r="H181"/>
  <c r="A164"/>
  <c r="N27" i="6"/>
  <c r="N29"/>
  <c r="M27"/>
  <c r="M29" s="1"/>
  <c r="O27"/>
  <c r="O29" s="1"/>
  <c r="A3" i="39"/>
  <c r="A13"/>
  <c r="A9"/>
  <c r="A13" i="38"/>
  <c r="A9"/>
  <c r="A3"/>
  <c r="A3" i="41"/>
  <c r="A48"/>
  <c r="A45"/>
  <c r="A44"/>
  <c r="A42"/>
  <c r="A37"/>
  <c r="A34"/>
  <c r="A33"/>
  <c r="A29"/>
  <c r="A16"/>
  <c r="A8"/>
  <c r="A6"/>
  <c r="A48" i="20"/>
  <c r="A42"/>
  <c r="A44"/>
  <c r="A45"/>
  <c r="A34"/>
  <c r="A16"/>
  <c r="A33"/>
  <c r="A37"/>
  <c r="A29"/>
  <c r="A8"/>
  <c r="A6"/>
  <c r="A3"/>
  <c r="A39" i="36"/>
  <c r="A13"/>
  <c r="A48" i="35"/>
  <c r="A14"/>
  <c r="A55" i="33"/>
  <c r="A55" i="31"/>
  <c r="A4" i="30"/>
  <c r="A7" i="13"/>
  <c r="A6"/>
  <c r="A45" i="23"/>
  <c r="A16"/>
  <c r="A48" i="4"/>
  <c r="A14"/>
  <c r="A67" i="29"/>
  <c r="A66" i="3"/>
  <c r="A5" i="26"/>
  <c r="A7" i="6"/>
  <c r="A8"/>
  <c r="A6"/>
  <c r="A64" i="44"/>
  <c r="A46"/>
  <c r="A27"/>
  <c r="A16"/>
  <c r="A3"/>
  <c r="A64" i="43"/>
  <c r="A46"/>
  <c r="A27"/>
  <c r="A3"/>
  <c r="A16"/>
  <c r="A98" i="42"/>
  <c r="A91"/>
  <c r="A82"/>
  <c r="A80"/>
  <c r="A66"/>
  <c r="A59"/>
  <c r="A50"/>
  <c r="A48"/>
  <c r="A27"/>
  <c r="A16"/>
  <c r="A14"/>
  <c r="A3"/>
  <c r="A5" i="45"/>
  <c r="A21" i="40"/>
  <c r="A29"/>
  <c r="A61"/>
  <c r="A45"/>
  <c r="A13"/>
  <c r="A95" i="2"/>
  <c r="A90"/>
  <c r="A86"/>
  <c r="A78"/>
  <c r="A76"/>
  <c r="A66"/>
  <c r="A59"/>
  <c r="A55"/>
  <c r="A15"/>
  <c r="A7"/>
  <c r="D520" i="32"/>
  <c r="D10"/>
  <c r="D71" i="31"/>
  <c r="D10"/>
  <c r="E71"/>
  <c r="E10" s="1"/>
  <c r="F104" i="41" s="1"/>
  <c r="F71" i="31"/>
  <c r="F10" s="1"/>
  <c r="G71"/>
  <c r="G10"/>
  <c r="H71"/>
  <c r="H10"/>
  <c r="I104" i="41" s="1"/>
  <c r="D88" i="3"/>
  <c r="E88"/>
  <c r="F88"/>
  <c r="G88"/>
  <c r="H88"/>
  <c r="E10" i="9"/>
  <c r="D65" i="29"/>
  <c r="D9"/>
  <c r="D89"/>
  <c r="D10" s="1"/>
  <c r="E89"/>
  <c r="E10" s="1"/>
  <c r="F89"/>
  <c r="F10"/>
  <c r="G89"/>
  <c r="G10" s="1"/>
  <c r="H146"/>
  <c r="H147"/>
  <c r="H151"/>
  <c r="H153"/>
  <c r="H154"/>
  <c r="H89"/>
  <c r="H10"/>
  <c r="D53" i="33"/>
  <c r="D9" s="1"/>
  <c r="D71"/>
  <c r="D10" s="1"/>
  <c r="E71"/>
  <c r="E10"/>
  <c r="F71"/>
  <c r="F10" s="1"/>
  <c r="G71"/>
  <c r="G10"/>
  <c r="H71"/>
  <c r="H10" s="1"/>
  <c r="A2" i="45"/>
  <c r="H162" i="26"/>
  <c r="H5" i="30"/>
  <c r="H6"/>
  <c r="H7"/>
  <c r="H8"/>
  <c r="H9"/>
  <c r="H10"/>
  <c r="H11"/>
  <c r="H12"/>
  <c r="H13"/>
  <c r="H14"/>
  <c r="H15"/>
  <c r="H16"/>
  <c r="H17"/>
  <c r="H18"/>
  <c r="H19"/>
  <c r="H20"/>
  <c r="H21"/>
  <c r="H22"/>
  <c r="H23"/>
  <c r="H24"/>
  <c r="H25"/>
  <c r="H26"/>
  <c r="H27"/>
  <c r="H28"/>
  <c r="H29"/>
  <c r="H30"/>
  <c r="H31"/>
  <c r="H33"/>
  <c r="H34"/>
  <c r="H35"/>
  <c r="H36"/>
  <c r="H37"/>
  <c r="H38"/>
  <c r="H39"/>
  <c r="H40"/>
  <c r="H41"/>
  <c r="H42"/>
  <c r="H43"/>
  <c r="H44"/>
  <c r="H45"/>
  <c r="H46"/>
  <c r="H47"/>
  <c r="H48"/>
  <c r="H49"/>
  <c r="H50"/>
  <c r="H51"/>
  <c r="H52"/>
  <c r="H53"/>
  <c r="H54"/>
  <c r="H55"/>
  <c r="H56"/>
  <c r="H57"/>
  <c r="H58"/>
  <c r="H59"/>
  <c r="H60"/>
  <c r="H61"/>
  <c r="H62"/>
  <c r="H63"/>
  <c r="H64"/>
  <c r="H65"/>
  <c r="H66"/>
  <c r="H67"/>
  <c r="H68"/>
  <c r="H69"/>
  <c r="H70"/>
  <c r="H71"/>
  <c r="H72"/>
  <c r="H73"/>
  <c r="H74"/>
  <c r="H75"/>
  <c r="H76"/>
  <c r="H77"/>
  <c r="H78"/>
  <c r="H79"/>
  <c r="H80"/>
  <c r="H81"/>
  <c r="H82"/>
  <c r="H83"/>
  <c r="H84"/>
  <c r="H85"/>
  <c r="H86"/>
  <c r="H87"/>
  <c r="H88"/>
  <c r="H89"/>
  <c r="H90"/>
  <c r="H91"/>
  <c r="H92"/>
  <c r="H93"/>
  <c r="H94"/>
  <c r="H95"/>
  <c r="H96"/>
  <c r="H97"/>
  <c r="H98"/>
  <c r="H99"/>
  <c r="H100"/>
  <c r="H101"/>
  <c r="H102"/>
  <c r="H103"/>
  <c r="H104"/>
  <c r="H105"/>
  <c r="H106"/>
  <c r="H107"/>
  <c r="H108"/>
  <c r="H109"/>
  <c r="H110"/>
  <c r="H111"/>
  <c r="H112"/>
  <c r="H113"/>
  <c r="H114"/>
  <c r="H115"/>
  <c r="H116"/>
  <c r="H117"/>
  <c r="H118"/>
  <c r="H119"/>
  <c r="H120"/>
  <c r="H121"/>
  <c r="H122"/>
  <c r="H123"/>
  <c r="H124"/>
  <c r="H125"/>
  <c r="H126"/>
  <c r="H127"/>
  <c r="H128"/>
  <c r="H129"/>
  <c r="H130"/>
  <c r="H131"/>
  <c r="H132"/>
  <c r="H133"/>
  <c r="H134"/>
  <c r="H135"/>
  <c r="H136"/>
  <c r="H137"/>
  <c r="H138"/>
  <c r="H139"/>
  <c r="H140"/>
  <c r="H141"/>
  <c r="H142"/>
  <c r="H143"/>
  <c r="H144"/>
  <c r="H145"/>
  <c r="H147"/>
  <c r="H148"/>
  <c r="U8"/>
  <c r="W8"/>
  <c r="U9"/>
  <c r="W9"/>
  <c r="U10"/>
  <c r="W10"/>
  <c r="U11"/>
  <c r="W11"/>
  <c r="U12"/>
  <c r="W12"/>
  <c r="U13"/>
  <c r="W13"/>
  <c r="U14"/>
  <c r="W14"/>
  <c r="U15"/>
  <c r="W15"/>
  <c r="U16"/>
  <c r="W16"/>
  <c r="U17"/>
  <c r="W17"/>
  <c r="U18"/>
  <c r="W18"/>
  <c r="U19"/>
  <c r="W19"/>
  <c r="U20"/>
  <c r="W20"/>
  <c r="U21"/>
  <c r="W21"/>
  <c r="U22"/>
  <c r="W22"/>
  <c r="U23"/>
  <c r="W23"/>
  <c r="U24"/>
  <c r="W24"/>
  <c r="U25"/>
  <c r="W25"/>
  <c r="U26"/>
  <c r="W26"/>
  <c r="U27"/>
  <c r="W27"/>
  <c r="U28"/>
  <c r="W28"/>
  <c r="U29"/>
  <c r="W29"/>
  <c r="U30"/>
  <c r="W30"/>
  <c r="U31"/>
  <c r="W31"/>
  <c r="U32"/>
  <c r="W32"/>
  <c r="U33"/>
  <c r="W33"/>
  <c r="U34"/>
  <c r="W34"/>
  <c r="U35"/>
  <c r="W35"/>
  <c r="U36"/>
  <c r="W36"/>
  <c r="U37"/>
  <c r="W37"/>
  <c r="U38"/>
  <c r="W38"/>
  <c r="U39"/>
  <c r="W39"/>
  <c r="U40"/>
  <c r="W40"/>
  <c r="U41"/>
  <c r="W41"/>
  <c r="U42"/>
  <c r="W42"/>
  <c r="U43"/>
  <c r="W43"/>
  <c r="U44"/>
  <c r="W44"/>
  <c r="U45"/>
  <c r="W45"/>
  <c r="U46"/>
  <c r="W46"/>
  <c r="U47"/>
  <c r="W47"/>
  <c r="U48"/>
  <c r="W48"/>
  <c r="U49"/>
  <c r="W49"/>
  <c r="U50"/>
  <c r="W50"/>
  <c r="U51"/>
  <c r="W51"/>
  <c r="U52"/>
  <c r="W52"/>
  <c r="U53"/>
  <c r="W53"/>
  <c r="U54"/>
  <c r="W54"/>
  <c r="U55"/>
  <c r="W55"/>
  <c r="U56"/>
  <c r="W56"/>
  <c r="U57"/>
  <c r="W57"/>
  <c r="U58"/>
  <c r="W58"/>
  <c r="U59"/>
  <c r="W59"/>
  <c r="U60"/>
  <c r="W60"/>
  <c r="U61"/>
  <c r="W61"/>
  <c r="U62"/>
  <c r="W62"/>
  <c r="U63"/>
  <c r="W63"/>
  <c r="U64"/>
  <c r="W64"/>
  <c r="U65"/>
  <c r="W65"/>
  <c r="U66"/>
  <c r="W66"/>
  <c r="U67"/>
  <c r="W67"/>
  <c r="U68"/>
  <c r="W68"/>
  <c r="U69"/>
  <c r="W69"/>
  <c r="U70"/>
  <c r="W70"/>
  <c r="U71"/>
  <c r="W71"/>
  <c r="U72"/>
  <c r="W72"/>
  <c r="U73"/>
  <c r="W73"/>
  <c r="U74"/>
  <c r="W74"/>
  <c r="U75"/>
  <c r="W75"/>
  <c r="U76"/>
  <c r="W76"/>
  <c r="U77"/>
  <c r="W77"/>
  <c r="U78"/>
  <c r="W78"/>
  <c r="U79"/>
  <c r="W79"/>
  <c r="U80"/>
  <c r="W80"/>
  <c r="U81"/>
  <c r="W81"/>
  <c r="U82"/>
  <c r="W82"/>
  <c r="U83"/>
  <c r="W83"/>
  <c r="U84"/>
  <c r="W84"/>
  <c r="U85"/>
  <c r="W85"/>
  <c r="U86"/>
  <c r="W86"/>
  <c r="U87"/>
  <c r="W87"/>
  <c r="U88"/>
  <c r="W88"/>
  <c r="U89"/>
  <c r="W89"/>
  <c r="U90"/>
  <c r="W90"/>
  <c r="U91"/>
  <c r="W91"/>
  <c r="U92"/>
  <c r="W92"/>
  <c r="U93"/>
  <c r="W93"/>
  <c r="U94"/>
  <c r="W94"/>
  <c r="U95"/>
  <c r="W95"/>
  <c r="U96"/>
  <c r="W96"/>
  <c r="U97"/>
  <c r="W97"/>
  <c r="U98"/>
  <c r="W98"/>
  <c r="U99"/>
  <c r="W99"/>
  <c r="U100"/>
  <c r="W100"/>
  <c r="U101"/>
  <c r="W101"/>
  <c r="U102"/>
  <c r="W102"/>
  <c r="U103"/>
  <c r="W103"/>
  <c r="U104"/>
  <c r="W104"/>
  <c r="U105"/>
  <c r="W105"/>
  <c r="U106"/>
  <c r="W106"/>
  <c r="U107"/>
  <c r="W107"/>
  <c r="U108"/>
  <c r="W108"/>
  <c r="U109"/>
  <c r="W109"/>
  <c r="U110"/>
  <c r="W110"/>
  <c r="U111"/>
  <c r="W111"/>
  <c r="U112"/>
  <c r="W112"/>
  <c r="U113"/>
  <c r="W113"/>
  <c r="U114"/>
  <c r="W114"/>
  <c r="U115"/>
  <c r="W115"/>
  <c r="U116"/>
  <c r="W116"/>
  <c r="U117"/>
  <c r="W117"/>
  <c r="U118"/>
  <c r="W118"/>
  <c r="U119"/>
  <c r="W119"/>
  <c r="U120"/>
  <c r="W120"/>
  <c r="U121"/>
  <c r="W121"/>
  <c r="U122"/>
  <c r="W122"/>
  <c r="U123"/>
  <c r="W123"/>
  <c r="U124"/>
  <c r="W124"/>
  <c r="U125"/>
  <c r="W125"/>
  <c r="U126"/>
  <c r="W126"/>
  <c r="U127"/>
  <c r="W127"/>
  <c r="U128"/>
  <c r="W128"/>
  <c r="U129"/>
  <c r="W129"/>
  <c r="U130"/>
  <c r="W130"/>
  <c r="U131"/>
  <c r="W131"/>
  <c r="U132"/>
  <c r="W132"/>
  <c r="U133"/>
  <c r="W133"/>
  <c r="U134"/>
  <c r="W134"/>
  <c r="U135"/>
  <c r="W135"/>
  <c r="U136"/>
  <c r="W136"/>
  <c r="U137"/>
  <c r="W137"/>
  <c r="U138"/>
  <c r="W138"/>
  <c r="U139"/>
  <c r="W139"/>
  <c r="U140"/>
  <c r="W140"/>
  <c r="U141"/>
  <c r="W141"/>
  <c r="U142"/>
  <c r="W142"/>
  <c r="U143"/>
  <c r="W143"/>
  <c r="U144"/>
  <c r="W144"/>
  <c r="U145"/>
  <c r="W145"/>
  <c r="U146"/>
  <c r="W146"/>
  <c r="U147"/>
  <c r="W147"/>
  <c r="U148"/>
  <c r="W148"/>
  <c r="W7"/>
  <c r="U7"/>
  <c r="W6"/>
  <c r="U6"/>
  <c r="W5"/>
  <c r="U5"/>
  <c r="W4"/>
  <c r="U4"/>
  <c r="F28" i="2"/>
  <c r="G28" s="1"/>
  <c r="H28" s="1"/>
  <c r="G70" i="4"/>
  <c r="F27" i="2"/>
  <c r="G27"/>
  <c r="H27"/>
  <c r="I27" s="1"/>
  <c r="I28"/>
  <c r="E6" i="39"/>
  <c r="E7"/>
  <c r="E8"/>
  <c r="E10"/>
  <c r="E9"/>
  <c r="E13"/>
  <c r="E14"/>
  <c r="E15"/>
  <c r="E16"/>
  <c r="D6"/>
  <c r="D10"/>
  <c r="D7"/>
  <c r="D9"/>
  <c r="D13"/>
  <c r="D14"/>
  <c r="D15"/>
  <c r="D28" s="1"/>
  <c r="D16"/>
  <c r="D8"/>
  <c r="F6"/>
  <c r="F7"/>
  <c r="F8"/>
  <c r="F10"/>
  <c r="F13"/>
  <c r="F14"/>
  <c r="F15"/>
  <c r="F16"/>
  <c r="B29"/>
  <c r="B72"/>
  <c r="B30"/>
  <c r="B73"/>
  <c r="B116" s="1"/>
  <c r="B159" s="1"/>
  <c r="B31"/>
  <c r="E31"/>
  <c r="B74"/>
  <c r="B32"/>
  <c r="B75"/>
  <c r="B118" s="1"/>
  <c r="B161" s="1"/>
  <c r="K64" i="40"/>
  <c r="L64"/>
  <c r="K16"/>
  <c r="L16"/>
  <c r="M56" s="1"/>
  <c r="K56"/>
  <c r="L56" s="1"/>
  <c r="K40"/>
  <c r="L40"/>
  <c r="M40" s="1"/>
  <c r="F119" i="41"/>
  <c r="G119"/>
  <c r="H119"/>
  <c r="I119"/>
  <c r="F122"/>
  <c r="G122"/>
  <c r="H122"/>
  <c r="I122"/>
  <c r="E119"/>
  <c r="E122"/>
  <c r="G72" i="35"/>
  <c r="I60" i="4"/>
  <c r="D51" i="36"/>
  <c r="B21" i="39"/>
  <c r="B22"/>
  <c r="B23"/>
  <c r="B24"/>
  <c r="B25"/>
  <c r="B26"/>
  <c r="B69" s="1"/>
  <c r="B112" s="1"/>
  <c r="B155" s="1"/>
  <c r="B27"/>
  <c r="B33"/>
  <c r="B34"/>
  <c r="B35"/>
  <c r="B36"/>
  <c r="B37"/>
  <c r="B38"/>
  <c r="B39"/>
  <c r="B40"/>
  <c r="B83"/>
  <c r="B41"/>
  <c r="B42"/>
  <c r="B43"/>
  <c r="B44"/>
  <c r="B45"/>
  <c r="B46"/>
  <c r="B47"/>
  <c r="B90" s="1"/>
  <c r="B133" s="1"/>
  <c r="B176" s="1"/>
  <c r="B48"/>
  <c r="B91" s="1"/>
  <c r="B134" s="1"/>
  <c r="B177" s="1"/>
  <c r="B49"/>
  <c r="B50"/>
  <c r="B51"/>
  <c r="B52"/>
  <c r="B95"/>
  <c r="B138" s="1"/>
  <c r="B181" s="1"/>
  <c r="B53"/>
  <c r="B54"/>
  <c r="B97" s="1"/>
  <c r="B140" s="1"/>
  <c r="B183" s="1"/>
  <c r="B55"/>
  <c r="B56"/>
  <c r="H56" s="1"/>
  <c r="B57"/>
  <c r="B58"/>
  <c r="H58" s="1"/>
  <c r="B59"/>
  <c r="B60"/>
  <c r="I60" s="1"/>
  <c r="B20"/>
  <c r="B101"/>
  <c r="B144"/>
  <c r="B187"/>
  <c r="B96"/>
  <c r="B139" s="1"/>
  <c r="B182" s="1"/>
  <c r="B93"/>
  <c r="B136"/>
  <c r="B179" s="1"/>
  <c r="B89"/>
  <c r="B132"/>
  <c r="B175" s="1"/>
  <c r="B88"/>
  <c r="B131"/>
  <c r="B174" s="1"/>
  <c r="B84"/>
  <c r="B127" s="1"/>
  <c r="B170"/>
  <c r="B126"/>
  <c r="B169" s="1"/>
  <c r="B81"/>
  <c r="B124"/>
  <c r="B167" s="1"/>
  <c r="B80"/>
  <c r="B123" s="1"/>
  <c r="B166" s="1"/>
  <c r="B77"/>
  <c r="B120"/>
  <c r="B163" s="1"/>
  <c r="B115"/>
  <c r="B158" s="1"/>
  <c r="B70"/>
  <c r="B113"/>
  <c r="B156" s="1"/>
  <c r="B64"/>
  <c r="B107"/>
  <c r="B150" s="1"/>
  <c r="B63"/>
  <c r="B106" s="1"/>
  <c r="B149" s="1"/>
  <c r="B64" i="38"/>
  <c r="B107"/>
  <c r="B150"/>
  <c r="B110"/>
  <c r="B153" s="1"/>
  <c r="B70"/>
  <c r="B113" s="1"/>
  <c r="B156"/>
  <c r="B72"/>
  <c r="B115"/>
  <c r="B158"/>
  <c r="B118"/>
  <c r="B161" s="1"/>
  <c r="B80"/>
  <c r="B123" s="1"/>
  <c r="B166" s="1"/>
  <c r="B126"/>
  <c r="B169"/>
  <c r="B86"/>
  <c r="B129" s="1"/>
  <c r="B172" s="1"/>
  <c r="B88"/>
  <c r="B131" s="1"/>
  <c r="B174" s="1"/>
  <c r="B91"/>
  <c r="B134"/>
  <c r="B177"/>
  <c r="B96"/>
  <c r="B99"/>
  <c r="B142"/>
  <c r="B185" s="1"/>
  <c r="B145"/>
  <c r="B188" s="1"/>
  <c r="B63"/>
  <c r="B106" s="1"/>
  <c r="B149" s="1"/>
  <c r="B66"/>
  <c r="B109"/>
  <c r="B152" s="1"/>
  <c r="B112"/>
  <c r="B155"/>
  <c r="B114"/>
  <c r="B157" s="1"/>
  <c r="B74"/>
  <c r="B117" s="1"/>
  <c r="B160" s="1"/>
  <c r="B77"/>
  <c r="B120"/>
  <c r="B163"/>
  <c r="B122"/>
  <c r="B165" s="1"/>
  <c r="B82"/>
  <c r="B125" s="1"/>
  <c r="B168" s="1"/>
  <c r="B85"/>
  <c r="B128"/>
  <c r="B171"/>
  <c r="B87"/>
  <c r="B130" s="1"/>
  <c r="B173" s="1"/>
  <c r="B90"/>
  <c r="B133"/>
  <c r="B176" s="1"/>
  <c r="B136"/>
  <c r="B179" s="1"/>
  <c r="B95"/>
  <c r="B138" s="1"/>
  <c r="B181" s="1"/>
  <c r="B98"/>
  <c r="B141"/>
  <c r="B184" s="1"/>
  <c r="B144"/>
  <c r="B187"/>
  <c r="B146"/>
  <c r="B189" s="1"/>
  <c r="B108"/>
  <c r="B151" s="1"/>
  <c r="B68"/>
  <c r="B111" s="1"/>
  <c r="B154"/>
  <c r="B76"/>
  <c r="B119"/>
  <c r="B162" s="1"/>
  <c r="B78"/>
  <c r="B121" s="1"/>
  <c r="B164" s="1"/>
  <c r="B81"/>
  <c r="B124"/>
  <c r="B167" s="1"/>
  <c r="B84"/>
  <c r="B127" s="1"/>
  <c r="B170"/>
  <c r="B89"/>
  <c r="B132"/>
  <c r="B175"/>
  <c r="B92"/>
  <c r="B135" s="1"/>
  <c r="B178" s="1"/>
  <c r="B94"/>
  <c r="B137"/>
  <c r="B180" s="1"/>
  <c r="B97"/>
  <c r="B140"/>
  <c r="B183" s="1"/>
  <c r="B143"/>
  <c r="B186"/>
  <c r="F47" i="36"/>
  <c r="E76" i="35"/>
  <c r="E73" s="1"/>
  <c r="F59"/>
  <c r="G59"/>
  <c r="G61"/>
  <c r="H59"/>
  <c r="I59"/>
  <c r="E59"/>
  <c r="G60" i="4"/>
  <c r="D50" i="36"/>
  <c r="H161" i="26"/>
  <c r="H160"/>
  <c r="H159"/>
  <c r="H158"/>
  <c r="H157"/>
  <c r="H156"/>
  <c r="H155"/>
  <c r="H154"/>
  <c r="H153"/>
  <c r="H152"/>
  <c r="H151"/>
  <c r="H150"/>
  <c r="H149"/>
  <c r="H148"/>
  <c r="H147"/>
  <c r="H146"/>
  <c r="H145"/>
  <c r="H144"/>
  <c r="H143"/>
  <c r="H142"/>
  <c r="H141"/>
  <c r="H140"/>
  <c r="H139"/>
  <c r="H138"/>
  <c r="H137"/>
  <c r="H136"/>
  <c r="H135"/>
  <c r="H134"/>
  <c r="H133"/>
  <c r="H132"/>
  <c r="H131"/>
  <c r="H130"/>
  <c r="H129"/>
  <c r="H128"/>
  <c r="H127"/>
  <c r="H126"/>
  <c r="H125"/>
  <c r="H124"/>
  <c r="H123"/>
  <c r="H122"/>
  <c r="H121"/>
  <c r="H120"/>
  <c r="H119"/>
  <c r="H118"/>
  <c r="H117"/>
  <c r="H116"/>
  <c r="H115"/>
  <c r="H114"/>
  <c r="H113"/>
  <c r="H112"/>
  <c r="H111"/>
  <c r="H110"/>
  <c r="H109"/>
  <c r="H108"/>
  <c r="H107"/>
  <c r="H106"/>
  <c r="H105"/>
  <c r="H104"/>
  <c r="H103"/>
  <c r="H102"/>
  <c r="H101"/>
  <c r="H100"/>
  <c r="H99"/>
  <c r="H98"/>
  <c r="H97"/>
  <c r="H96"/>
  <c r="H95"/>
  <c r="H94"/>
  <c r="H93"/>
  <c r="H92"/>
  <c r="H91"/>
  <c r="H90"/>
  <c r="H89"/>
  <c r="H88"/>
  <c r="H87"/>
  <c r="H86"/>
  <c r="H85"/>
  <c r="H84"/>
  <c r="H83"/>
  <c r="H82"/>
  <c r="H81"/>
  <c r="H80"/>
  <c r="H79"/>
  <c r="H78"/>
  <c r="H77"/>
  <c r="H76"/>
  <c r="H75"/>
  <c r="H74"/>
  <c r="H73"/>
  <c r="H72"/>
  <c r="H71"/>
  <c r="H70"/>
  <c r="H69"/>
  <c r="H68"/>
  <c r="H67"/>
  <c r="H66"/>
  <c r="H65"/>
  <c r="H64"/>
  <c r="H63"/>
  <c r="H62"/>
  <c r="H61"/>
  <c r="H60"/>
  <c r="H59"/>
  <c r="H58"/>
  <c r="H57"/>
  <c r="H56"/>
  <c r="H55"/>
  <c r="H54"/>
  <c r="H53"/>
  <c r="H52"/>
  <c r="H51"/>
  <c r="H50"/>
  <c r="H49"/>
  <c r="H48"/>
  <c r="H47"/>
  <c r="H46"/>
  <c r="H45"/>
  <c r="H44"/>
  <c r="H43"/>
  <c r="H42"/>
  <c r="H41"/>
  <c r="H40"/>
  <c r="H39"/>
  <c r="H38"/>
  <c r="H37"/>
  <c r="H36"/>
  <c r="H35"/>
  <c r="H34"/>
  <c r="H33"/>
  <c r="H32"/>
  <c r="H31"/>
  <c r="H30"/>
  <c r="H29"/>
  <c r="H28"/>
  <c r="H27"/>
  <c r="H26"/>
  <c r="H25"/>
  <c r="H24"/>
  <c r="H23"/>
  <c r="H22"/>
  <c r="H21"/>
  <c r="H20"/>
  <c r="H19"/>
  <c r="H18"/>
  <c r="H17"/>
  <c r="H16"/>
  <c r="H15"/>
  <c r="H14"/>
  <c r="H13"/>
  <c r="H12"/>
  <c r="H11"/>
  <c r="H10"/>
  <c r="H9"/>
  <c r="H8"/>
  <c r="H7"/>
  <c r="H6"/>
  <c r="H5"/>
  <c r="H4" i="30"/>
  <c r="F9" i="41"/>
  <c r="F6"/>
  <c r="F16"/>
  <c r="G9"/>
  <c r="G6"/>
  <c r="G16"/>
  <c r="G56" s="1"/>
  <c r="H9"/>
  <c r="H6"/>
  <c r="H16"/>
  <c r="I9"/>
  <c r="I6"/>
  <c r="I16"/>
  <c r="E9"/>
  <c r="E6"/>
  <c r="E33" s="1"/>
  <c r="E16"/>
  <c r="F13"/>
  <c r="F14"/>
  <c r="F11"/>
  <c r="G13"/>
  <c r="G14"/>
  <c r="G11"/>
  <c r="H13"/>
  <c r="H14"/>
  <c r="H11"/>
  <c r="I13"/>
  <c r="I14"/>
  <c r="I11"/>
  <c r="E13"/>
  <c r="E14"/>
  <c r="E11"/>
  <c r="D59" i="23"/>
  <c r="D6" i="38"/>
  <c r="D10"/>
  <c r="D7"/>
  <c r="D9"/>
  <c r="D28" s="1"/>
  <c r="D8"/>
  <c r="D78" s="1"/>
  <c r="E7" i="36"/>
  <c r="B49" i="2"/>
  <c r="F36"/>
  <c r="G36" s="1"/>
  <c r="H36" s="1"/>
  <c r="I36" s="1"/>
  <c r="F57" i="38"/>
  <c r="E57"/>
  <c r="H11" i="1"/>
  <c r="F24" i="2"/>
  <c r="G24"/>
  <c r="H24" s="1"/>
  <c r="I24" s="1"/>
  <c r="E28" i="42"/>
  <c r="E29"/>
  <c r="F28"/>
  <c r="G28" s="1"/>
  <c r="B105" i="1"/>
  <c r="E29" i="44"/>
  <c r="I57"/>
  <c r="E28"/>
  <c r="I60"/>
  <c r="H57"/>
  <c r="H60"/>
  <c r="G57"/>
  <c r="G60"/>
  <c r="F57"/>
  <c r="F60"/>
  <c r="E57"/>
  <c r="E60"/>
  <c r="A2"/>
  <c r="A2" i="43"/>
  <c r="I62" i="42"/>
  <c r="I94" s="1"/>
  <c r="H62"/>
  <c r="H94" s="1"/>
  <c r="G62"/>
  <c r="G94" s="1"/>
  <c r="F62"/>
  <c r="F94" s="1"/>
  <c r="E62"/>
  <c r="E94" s="1"/>
  <c r="F59"/>
  <c r="G59"/>
  <c r="H59"/>
  <c r="I59"/>
  <c r="E59"/>
  <c r="H79"/>
  <c r="H91"/>
  <c r="I79"/>
  <c r="I91"/>
  <c r="E79"/>
  <c r="E91"/>
  <c r="E82"/>
  <c r="F82"/>
  <c r="G82"/>
  <c r="H82"/>
  <c r="I82"/>
  <c r="G79"/>
  <c r="G91" s="1"/>
  <c r="F79"/>
  <c r="F91" s="1"/>
  <c r="A2"/>
  <c r="B23" i="29"/>
  <c r="B45" s="1"/>
  <c r="B117" s="1"/>
  <c r="B141" s="1"/>
  <c r="B24"/>
  <c r="B46" s="1"/>
  <c r="B25"/>
  <c r="B47"/>
  <c r="B71"/>
  <c r="B119"/>
  <c r="B143" s="1"/>
  <c r="B26"/>
  <c r="B48" s="1"/>
  <c r="B72" s="1"/>
  <c r="B120"/>
  <c r="B144" s="1"/>
  <c r="B27"/>
  <c r="B49"/>
  <c r="B121" s="1"/>
  <c r="B145" s="1"/>
  <c r="B28"/>
  <c r="B50"/>
  <c r="B122" s="1"/>
  <c r="B29"/>
  <c r="B51"/>
  <c r="B75" s="1"/>
  <c r="B30"/>
  <c r="B52" s="1"/>
  <c r="B31"/>
  <c r="B53"/>
  <c r="B125" s="1"/>
  <c r="B149"/>
  <c r="B32"/>
  <c r="B54"/>
  <c r="B33"/>
  <c r="B55" s="1"/>
  <c r="B127" s="1"/>
  <c r="B151" s="1"/>
  <c r="B79"/>
  <c r="B34"/>
  <c r="B56"/>
  <c r="B80" s="1"/>
  <c r="B35"/>
  <c r="B57"/>
  <c r="B81" s="1"/>
  <c r="B129"/>
  <c r="B153" s="1"/>
  <c r="B36"/>
  <c r="B58"/>
  <c r="B130" s="1"/>
  <c r="B154" s="1"/>
  <c r="B37"/>
  <c r="B59" s="1"/>
  <c r="B131" s="1"/>
  <c r="B155" s="1"/>
  <c r="B38"/>
  <c r="B60" s="1"/>
  <c r="B39"/>
  <c r="B61" s="1"/>
  <c r="B40"/>
  <c r="B62" s="1"/>
  <c r="B134" s="1"/>
  <c r="B158" s="1"/>
  <c r="B86"/>
  <c r="B41"/>
  <c r="B63"/>
  <c r="B69"/>
  <c r="B77"/>
  <c r="E27" i="40"/>
  <c r="E26"/>
  <c r="E25"/>
  <c r="E33" s="1"/>
  <c r="E24"/>
  <c r="I35"/>
  <c r="H35"/>
  <c r="G35"/>
  <c r="F35"/>
  <c r="E35"/>
  <c r="I34"/>
  <c r="H34"/>
  <c r="G34"/>
  <c r="F34"/>
  <c r="E34"/>
  <c r="F31"/>
  <c r="G31"/>
  <c r="H31"/>
  <c r="I31"/>
  <c r="E31"/>
  <c r="F26"/>
  <c r="G26"/>
  <c r="H26"/>
  <c r="I26"/>
  <c r="F27"/>
  <c r="G27"/>
  <c r="H27"/>
  <c r="I27"/>
  <c r="F23"/>
  <c r="G23"/>
  <c r="H23"/>
  <c r="I23"/>
  <c r="E23"/>
  <c r="B23" i="3"/>
  <c r="B45" s="1"/>
  <c r="B69"/>
  <c r="B93" s="1"/>
  <c r="B117" s="1"/>
  <c r="B141" s="1"/>
  <c r="B24"/>
  <c r="B46" s="1"/>
  <c r="B70" s="1"/>
  <c r="B94" s="1"/>
  <c r="B118" s="1"/>
  <c r="B142" s="1"/>
  <c r="B25"/>
  <c r="B47"/>
  <c r="B71"/>
  <c r="B95" s="1"/>
  <c r="B119" s="1"/>
  <c r="B143" s="1"/>
  <c r="B26"/>
  <c r="B48" s="1"/>
  <c r="B72" s="1"/>
  <c r="B96" s="1"/>
  <c r="B120"/>
  <c r="B144" s="1"/>
  <c r="B27"/>
  <c r="B49" s="1"/>
  <c r="B73" s="1"/>
  <c r="B97" s="1"/>
  <c r="B121" s="1"/>
  <c r="B145" s="1"/>
  <c r="B28"/>
  <c r="B50" s="1"/>
  <c r="B74" s="1"/>
  <c r="B98" s="1"/>
  <c r="B122" s="1"/>
  <c r="B146" s="1"/>
  <c r="B29"/>
  <c r="B51"/>
  <c r="B75"/>
  <c r="B99" s="1"/>
  <c r="B123" s="1"/>
  <c r="B147" s="1"/>
  <c r="B30"/>
  <c r="B52" s="1"/>
  <c r="B76"/>
  <c r="B100"/>
  <c r="B124"/>
  <c r="B148" s="1"/>
  <c r="B31"/>
  <c r="B53" s="1"/>
  <c r="B77"/>
  <c r="B101" s="1"/>
  <c r="B125"/>
  <c r="B149"/>
  <c r="B32"/>
  <c r="B54" s="1"/>
  <c r="B78" s="1"/>
  <c r="B102" s="1"/>
  <c r="B126"/>
  <c r="B150" s="1"/>
  <c r="B33"/>
  <c r="B55"/>
  <c r="B79" s="1"/>
  <c r="B103" s="1"/>
  <c r="B127" s="1"/>
  <c r="B151" s="1"/>
  <c r="B34"/>
  <c r="B56" s="1"/>
  <c r="B80"/>
  <c r="B104"/>
  <c r="B128" s="1"/>
  <c r="B152" s="1"/>
  <c r="B35"/>
  <c r="B57" s="1"/>
  <c r="B81"/>
  <c r="B105" s="1"/>
  <c r="B129"/>
  <c r="B153" s="1"/>
  <c r="B36"/>
  <c r="B58" s="1"/>
  <c r="B82" s="1"/>
  <c r="B106" s="1"/>
  <c r="B130"/>
  <c r="B154" s="1"/>
  <c r="B37"/>
  <c r="B59" s="1"/>
  <c r="B83" s="1"/>
  <c r="B107" s="1"/>
  <c r="B131" s="1"/>
  <c r="B155" s="1"/>
  <c r="B38"/>
  <c r="B60" s="1"/>
  <c r="B84"/>
  <c r="B108" s="1"/>
  <c r="B132" s="1"/>
  <c r="B156" s="1"/>
  <c r="B39"/>
  <c r="B61" s="1"/>
  <c r="B85"/>
  <c r="B109" s="1"/>
  <c r="B133" s="1"/>
  <c r="B157" s="1"/>
  <c r="B40"/>
  <c r="B62" s="1"/>
  <c r="B86" s="1"/>
  <c r="B110" s="1"/>
  <c r="B134"/>
  <c r="B158" s="1"/>
  <c r="B22"/>
  <c r="B44"/>
  <c r="B68"/>
  <c r="B92" s="1"/>
  <c r="B116" s="1"/>
  <c r="G50" i="40"/>
  <c r="H50"/>
  <c r="I50" s="1"/>
  <c r="G48"/>
  <c r="H48"/>
  <c r="I48"/>
  <c r="G49"/>
  <c r="H49"/>
  <c r="I49" s="1"/>
  <c r="G51"/>
  <c r="H51" s="1"/>
  <c r="I51"/>
  <c r="G47"/>
  <c r="H47"/>
  <c r="I47" s="1"/>
  <c r="F56" i="20"/>
  <c r="E56"/>
  <c r="G8"/>
  <c r="G56" s="1"/>
  <c r="F33"/>
  <c r="E33"/>
  <c r="I12" i="41"/>
  <c r="H12"/>
  <c r="G12"/>
  <c r="F12"/>
  <c r="E12"/>
  <c r="G10" i="9"/>
  <c r="H104" i="41" s="1"/>
  <c r="G520" i="32"/>
  <c r="G10"/>
  <c r="A2" i="41"/>
  <c r="A2" i="40"/>
  <c r="A2" i="6"/>
  <c r="A2" i="26"/>
  <c r="A2" i="3"/>
  <c r="A2" i="9"/>
  <c r="A2" i="29"/>
  <c r="A2" i="27"/>
  <c r="A2" i="4"/>
  <c r="A2" i="23"/>
  <c r="A2" i="13"/>
  <c r="A2" i="30"/>
  <c r="A2" i="31"/>
  <c r="A2" i="32"/>
  <c r="A2" i="33"/>
  <c r="A2" i="34"/>
  <c r="A2" i="35"/>
  <c r="A2" i="36"/>
  <c r="A2" i="20"/>
  <c r="A2" i="38"/>
  <c r="A2" i="39"/>
  <c r="A2" i="2"/>
  <c r="F10" i="9"/>
  <c r="H10"/>
  <c r="E520" i="32"/>
  <c r="E10" s="1"/>
  <c r="F520"/>
  <c r="F10" s="1"/>
  <c r="H520"/>
  <c r="H10" s="1"/>
  <c r="B94" i="1"/>
  <c r="B83"/>
  <c r="G576" i="27"/>
  <c r="G10" s="1"/>
  <c r="E576"/>
  <c r="E10"/>
  <c r="H576"/>
  <c r="H10" s="1"/>
  <c r="G59" i="39"/>
  <c r="G58"/>
  <c r="F58"/>
  <c r="F101" s="1"/>
  <c r="G57"/>
  <c r="G54"/>
  <c r="F54"/>
  <c r="F52"/>
  <c r="F95" s="1"/>
  <c r="D52"/>
  <c r="D51"/>
  <c r="G50"/>
  <c r="G48"/>
  <c r="F48"/>
  <c r="F91" s="1"/>
  <c r="D47"/>
  <c r="F46"/>
  <c r="D46"/>
  <c r="G44"/>
  <c r="D44"/>
  <c r="E42"/>
  <c r="D42"/>
  <c r="G40"/>
  <c r="G37"/>
  <c r="D33"/>
  <c r="G21"/>
  <c r="F21"/>
  <c r="F64" s="1"/>
  <c r="H17"/>
  <c r="D17"/>
  <c r="F60" i="38"/>
  <c r="E60"/>
  <c r="D60"/>
  <c r="F59"/>
  <c r="E59"/>
  <c r="D59"/>
  <c r="F58"/>
  <c r="E58"/>
  <c r="D58"/>
  <c r="D57"/>
  <c r="G56"/>
  <c r="F56"/>
  <c r="E56"/>
  <c r="D56"/>
  <c r="G55"/>
  <c r="F55"/>
  <c r="E55"/>
  <c r="D55"/>
  <c r="G54"/>
  <c r="F54"/>
  <c r="E54"/>
  <c r="D54"/>
  <c r="G53"/>
  <c r="F53"/>
  <c r="E53"/>
  <c r="D53"/>
  <c r="G52"/>
  <c r="F52"/>
  <c r="E52"/>
  <c r="D52"/>
  <c r="D95"/>
  <c r="G51"/>
  <c r="F51"/>
  <c r="E51"/>
  <c r="D51"/>
  <c r="F50"/>
  <c r="E50"/>
  <c r="D50"/>
  <c r="G49"/>
  <c r="F49"/>
  <c r="E49"/>
  <c r="D49"/>
  <c r="G48"/>
  <c r="F48"/>
  <c r="E48"/>
  <c r="E91" s="1"/>
  <c r="D48"/>
  <c r="G47"/>
  <c r="F47"/>
  <c r="E47"/>
  <c r="D47"/>
  <c r="G46"/>
  <c r="F46"/>
  <c r="E46"/>
  <c r="D46"/>
  <c r="G45"/>
  <c r="F45"/>
  <c r="E45"/>
  <c r="D45"/>
  <c r="G44"/>
  <c r="F44"/>
  <c r="E44"/>
  <c r="D44"/>
  <c r="G43"/>
  <c r="F43"/>
  <c r="E43"/>
  <c r="D43"/>
  <c r="G42"/>
  <c r="F42"/>
  <c r="E42"/>
  <c r="D42"/>
  <c r="G41"/>
  <c r="F41"/>
  <c r="E41"/>
  <c r="D41"/>
  <c r="F40"/>
  <c r="E40"/>
  <c r="D40"/>
  <c r="G39"/>
  <c r="F39"/>
  <c r="E39"/>
  <c r="D39"/>
  <c r="G38"/>
  <c r="F38"/>
  <c r="E38"/>
  <c r="D38"/>
  <c r="G37"/>
  <c r="F37"/>
  <c r="E37"/>
  <c r="D37"/>
  <c r="F36"/>
  <c r="E36"/>
  <c r="D36"/>
  <c r="G35"/>
  <c r="F35"/>
  <c r="E35"/>
  <c r="D35"/>
  <c r="G34"/>
  <c r="F34"/>
  <c r="E34"/>
  <c r="D34"/>
  <c r="G33"/>
  <c r="F33"/>
  <c r="E33"/>
  <c r="D33"/>
  <c r="F32"/>
  <c r="E32"/>
  <c r="E75" s="1"/>
  <c r="D32"/>
  <c r="G31"/>
  <c r="F31"/>
  <c r="E31"/>
  <c r="D31"/>
  <c r="F30"/>
  <c r="E30"/>
  <c r="D30"/>
  <c r="G29"/>
  <c r="F29"/>
  <c r="E29"/>
  <c r="D29"/>
  <c r="G27"/>
  <c r="F27"/>
  <c r="E27"/>
  <c r="D27"/>
  <c r="F26"/>
  <c r="E26"/>
  <c r="D26"/>
  <c r="G25"/>
  <c r="F25"/>
  <c r="E25"/>
  <c r="D25"/>
  <c r="F24"/>
  <c r="E24"/>
  <c r="D24"/>
  <c r="D67"/>
  <c r="G23"/>
  <c r="F23"/>
  <c r="E23"/>
  <c r="E66" s="1"/>
  <c r="D23"/>
  <c r="F22"/>
  <c r="E22"/>
  <c r="D22"/>
  <c r="G21"/>
  <c r="F21"/>
  <c r="E21"/>
  <c r="D21"/>
  <c r="G20"/>
  <c r="F20"/>
  <c r="E20"/>
  <c r="D20"/>
  <c r="E17"/>
  <c r="F17"/>
  <c r="G17"/>
  <c r="H17"/>
  <c r="I17"/>
  <c r="D17"/>
  <c r="E47" i="36"/>
  <c r="E46"/>
  <c r="B184" i="34"/>
  <c r="B350" s="1"/>
  <c r="B517" s="1"/>
  <c r="B183"/>
  <c r="B182"/>
  <c r="B348" s="1"/>
  <c r="B515" s="1"/>
  <c r="B682" s="1"/>
  <c r="B849" s="1"/>
  <c r="B1016" s="1"/>
  <c r="B1183" s="1"/>
  <c r="B181"/>
  <c r="B347" s="1"/>
  <c r="B514" s="1"/>
  <c r="B681" s="1"/>
  <c r="B848" s="1"/>
  <c r="B1015" s="1"/>
  <c r="B1182" s="1"/>
  <c r="B180"/>
  <c r="B346" s="1"/>
  <c r="B513" s="1"/>
  <c r="B680" s="1"/>
  <c r="B847" s="1"/>
  <c r="B1014" s="1"/>
  <c r="B1181" s="1"/>
  <c r="B179"/>
  <c r="B345"/>
  <c r="B512" s="1"/>
  <c r="B679" s="1"/>
  <c r="B846" s="1"/>
  <c r="B1013" s="1"/>
  <c r="B1180" s="1"/>
  <c r="B178"/>
  <c r="B344" s="1"/>
  <c r="B511" s="1"/>
  <c r="B678" s="1"/>
  <c r="B845" s="1"/>
  <c r="B1012" s="1"/>
  <c r="B1179" s="1"/>
  <c r="B177"/>
  <c r="B343" s="1"/>
  <c r="B510" s="1"/>
  <c r="B176"/>
  <c r="B175"/>
  <c r="B174"/>
  <c r="B340" s="1"/>
  <c r="B507"/>
  <c r="B674" s="1"/>
  <c r="B841" s="1"/>
  <c r="B1008" s="1"/>
  <c r="B1175" s="1"/>
  <c r="B173"/>
  <c r="B339"/>
  <c r="B172"/>
  <c r="B171"/>
  <c r="B337" s="1"/>
  <c r="B504" s="1"/>
  <c r="B671" s="1"/>
  <c r="B838" s="1"/>
  <c r="B1005" s="1"/>
  <c r="B1172" s="1"/>
  <c r="B170"/>
  <c r="B336"/>
  <c r="B169"/>
  <c r="B335"/>
  <c r="B168"/>
  <c r="B167"/>
  <c r="B166"/>
  <c r="B332"/>
  <c r="B499" s="1"/>
  <c r="B666"/>
  <c r="B833" s="1"/>
  <c r="B1000" s="1"/>
  <c r="B1167" s="1"/>
  <c r="B165"/>
  <c r="B331" s="1"/>
  <c r="B498" s="1"/>
  <c r="B665" s="1"/>
  <c r="B832" s="1"/>
  <c r="B999" s="1"/>
  <c r="B1166" s="1"/>
  <c r="B164"/>
  <c r="B330" s="1"/>
  <c r="B497" s="1"/>
  <c r="B664" s="1"/>
  <c r="B831" s="1"/>
  <c r="B998" s="1"/>
  <c r="B1165" s="1"/>
  <c r="B163"/>
  <c r="B329"/>
  <c r="B496" s="1"/>
  <c r="B663" s="1"/>
  <c r="B830" s="1"/>
  <c r="B997" s="1"/>
  <c r="B1164" s="1"/>
  <c r="B162"/>
  <c r="B328" s="1"/>
  <c r="B161"/>
  <c r="B327"/>
  <c r="B494"/>
  <c r="B661" s="1"/>
  <c r="B828" s="1"/>
  <c r="B995" s="1"/>
  <c r="B1162" s="1"/>
  <c r="B160"/>
  <c r="B159"/>
  <c r="B325" s="1"/>
  <c r="B158"/>
  <c r="B324" s="1"/>
  <c r="B491" s="1"/>
  <c r="B658" s="1"/>
  <c r="B825" s="1"/>
  <c r="B992" s="1"/>
  <c r="B1159" s="1"/>
  <c r="B157"/>
  <c r="B323" s="1"/>
  <c r="B490" s="1"/>
  <c r="B657" s="1"/>
  <c r="B824" s="1"/>
  <c r="B991" s="1"/>
  <c r="B1158" s="1"/>
  <c r="B156"/>
  <c r="B155"/>
  <c r="B154"/>
  <c r="B320" s="1"/>
  <c r="B487" s="1"/>
  <c r="B654" s="1"/>
  <c r="B153"/>
  <c r="B319" s="1"/>
  <c r="B486" s="1"/>
  <c r="B653" s="1"/>
  <c r="B820"/>
  <c r="B987" s="1"/>
  <c r="B1154" s="1"/>
  <c r="B152"/>
  <c r="B151"/>
  <c r="B317" s="1"/>
  <c r="B150"/>
  <c r="B316"/>
  <c r="B483" s="1"/>
  <c r="B149"/>
  <c r="B315" s="1"/>
  <c r="B482" s="1"/>
  <c r="B649" s="1"/>
  <c r="B816" s="1"/>
  <c r="B983" s="1"/>
  <c r="B148"/>
  <c r="B147"/>
  <c r="B313" s="1"/>
  <c r="B480"/>
  <c r="B647" s="1"/>
  <c r="B814" s="1"/>
  <c r="B981" s="1"/>
  <c r="B1148" s="1"/>
  <c r="B146"/>
  <c r="B312"/>
  <c r="B145"/>
  <c r="B311"/>
  <c r="B144"/>
  <c r="B143"/>
  <c r="B309" s="1"/>
  <c r="B142"/>
  <c r="B308" s="1"/>
  <c r="B475" s="1"/>
  <c r="B642" s="1"/>
  <c r="B809" s="1"/>
  <c r="B976" s="1"/>
  <c r="B1143" s="1"/>
  <c r="B141"/>
  <c r="B307"/>
  <c r="B474" s="1"/>
  <c r="B641" s="1"/>
  <c r="B808" s="1"/>
  <c r="B975" s="1"/>
  <c r="B1142" s="1"/>
  <c r="B140"/>
  <c r="B306" s="1"/>
  <c r="B473" s="1"/>
  <c r="B640" s="1"/>
  <c r="B807" s="1"/>
  <c r="B974" s="1"/>
  <c r="B1141" s="1"/>
  <c r="B139"/>
  <c r="B305"/>
  <c r="B472" s="1"/>
  <c r="B639"/>
  <c r="B806" s="1"/>
  <c r="B973" s="1"/>
  <c r="B1140" s="1"/>
  <c r="B138"/>
  <c r="B304" s="1"/>
  <c r="B137"/>
  <c r="B303" s="1"/>
  <c r="B470" s="1"/>
  <c r="B637" s="1"/>
  <c r="B804" s="1"/>
  <c r="B971" s="1"/>
  <c r="B1138" s="1"/>
  <c r="B136"/>
  <c r="B302" s="1"/>
  <c r="B469" s="1"/>
  <c r="B636" s="1"/>
  <c r="B803" s="1"/>
  <c r="B970" s="1"/>
  <c r="B1137" s="1"/>
  <c r="B135"/>
  <c r="B134"/>
  <c r="B300"/>
  <c r="B467" s="1"/>
  <c r="B634" s="1"/>
  <c r="B801" s="1"/>
  <c r="B968" s="1"/>
  <c r="B1135" s="1"/>
  <c r="B133"/>
  <c r="B299"/>
  <c r="B466" s="1"/>
  <c r="B633" s="1"/>
  <c r="B800" s="1"/>
  <c r="B967" s="1"/>
  <c r="B1134" s="1"/>
  <c r="B132"/>
  <c r="B298" s="1"/>
  <c r="B465" s="1"/>
  <c r="B632" s="1"/>
  <c r="B799" s="1"/>
  <c r="B966" s="1"/>
  <c r="B1133" s="1"/>
  <c r="B131"/>
  <c r="B297" s="1"/>
  <c r="B464" s="1"/>
  <c r="B631" s="1"/>
  <c r="B798" s="1"/>
  <c r="B965" s="1"/>
  <c r="B1132" s="1"/>
  <c r="B130"/>
  <c r="B296"/>
  <c r="B463" s="1"/>
  <c r="B129"/>
  <c r="B128"/>
  <c r="B127"/>
  <c r="B126"/>
  <c r="B292" s="1"/>
  <c r="B459" s="1"/>
  <c r="B626" s="1"/>
  <c r="B793" s="1"/>
  <c r="B960" s="1"/>
  <c r="B1127" s="1"/>
  <c r="B125"/>
  <c r="B291"/>
  <c r="B124"/>
  <c r="B123"/>
  <c r="B289" s="1"/>
  <c r="B456" s="1"/>
  <c r="B623" s="1"/>
  <c r="B790" s="1"/>
  <c r="B957" s="1"/>
  <c r="B1124" s="1"/>
  <c r="B122"/>
  <c r="B288"/>
  <c r="B455" s="1"/>
  <c r="B622" s="1"/>
  <c r="B789" s="1"/>
  <c r="B956" s="1"/>
  <c r="B1123" s="1"/>
  <c r="B121"/>
  <c r="B287" s="1"/>
  <c r="B454" s="1"/>
  <c r="B621" s="1"/>
  <c r="B788" s="1"/>
  <c r="B955" s="1"/>
  <c r="B1122" s="1"/>
  <c r="B120"/>
  <c r="B119"/>
  <c r="B285" s="1"/>
  <c r="B118"/>
  <c r="B284" s="1"/>
  <c r="B451" s="1"/>
  <c r="B618" s="1"/>
  <c r="B785" s="1"/>
  <c r="B952" s="1"/>
  <c r="B1119" s="1"/>
  <c r="B117"/>
  <c r="B283"/>
  <c r="B450" s="1"/>
  <c r="B617" s="1"/>
  <c r="B784" s="1"/>
  <c r="B116"/>
  <c r="B115"/>
  <c r="B281"/>
  <c r="B448" s="1"/>
  <c r="B615"/>
  <c r="B782" s="1"/>
  <c r="B949" s="1"/>
  <c r="B1116" s="1"/>
  <c r="B114"/>
  <c r="B280" s="1"/>
  <c r="B113"/>
  <c r="B279" s="1"/>
  <c r="B446" s="1"/>
  <c r="B613" s="1"/>
  <c r="B112"/>
  <c r="B111"/>
  <c r="B277" s="1"/>
  <c r="B444" s="1"/>
  <c r="B611" s="1"/>
  <c r="B778" s="1"/>
  <c r="B945" s="1"/>
  <c r="B1112" s="1"/>
  <c r="B110"/>
  <c r="B276"/>
  <c r="B443" s="1"/>
  <c r="B109"/>
  <c r="B275"/>
  <c r="B442" s="1"/>
  <c r="B609" s="1"/>
  <c r="B776" s="1"/>
  <c r="B943" s="1"/>
  <c r="B1110" s="1"/>
  <c r="B108"/>
  <c r="B107"/>
  <c r="B273" s="1"/>
  <c r="B440"/>
  <c r="B607" s="1"/>
  <c r="B774" s="1"/>
  <c r="B941" s="1"/>
  <c r="B1108" s="1"/>
  <c r="B106"/>
  <c r="B272"/>
  <c r="B105"/>
  <c r="B104"/>
  <c r="B270" s="1"/>
  <c r="B437" s="1"/>
  <c r="B604" s="1"/>
  <c r="B771" s="1"/>
  <c r="B938" s="1"/>
  <c r="B1105" s="1"/>
  <c r="B103"/>
  <c r="B102"/>
  <c r="B268" s="1"/>
  <c r="B435" s="1"/>
  <c r="B602" s="1"/>
  <c r="B769" s="1"/>
  <c r="B936" s="1"/>
  <c r="B1103" s="1"/>
  <c r="B101"/>
  <c r="B267" s="1"/>
  <c r="B100"/>
  <c r="B99"/>
  <c r="B265"/>
  <c r="B432" s="1"/>
  <c r="B599"/>
  <c r="B766"/>
  <c r="B933"/>
  <c r="B1100" s="1"/>
  <c r="B98"/>
  <c r="B264" s="1"/>
  <c r="B431" s="1"/>
  <c r="B598" s="1"/>
  <c r="B97"/>
  <c r="B96"/>
  <c r="B95"/>
  <c r="B261" s="1"/>
  <c r="B428" s="1"/>
  <c r="B595" s="1"/>
  <c r="B762" s="1"/>
  <c r="B94"/>
  <c r="B260"/>
  <c r="B427" s="1"/>
  <c r="B594" s="1"/>
  <c r="B761" s="1"/>
  <c r="B928"/>
  <c r="B1095" s="1"/>
  <c r="B93"/>
  <c r="B259" s="1"/>
  <c r="B426" s="1"/>
  <c r="B593" s="1"/>
  <c r="B760" s="1"/>
  <c r="B927" s="1"/>
  <c r="B1094" s="1"/>
  <c r="B92"/>
  <c r="B91"/>
  <c r="B257"/>
  <c r="B424" s="1"/>
  <c r="B591" s="1"/>
  <c r="B758" s="1"/>
  <c r="B925" s="1"/>
  <c r="B1092" s="1"/>
  <c r="B90"/>
  <c r="B256" s="1"/>
  <c r="B423" s="1"/>
  <c r="B590" s="1"/>
  <c r="B757" s="1"/>
  <c r="B89"/>
  <c r="B255" s="1"/>
  <c r="B422" s="1"/>
  <c r="B589" s="1"/>
  <c r="B88"/>
  <c r="B87"/>
  <c r="B253" s="1"/>
  <c r="B86"/>
  <c r="B252"/>
  <c r="B419"/>
  <c r="B586"/>
  <c r="B753" s="1"/>
  <c r="B920" s="1"/>
  <c r="B1087" s="1"/>
  <c r="B85"/>
  <c r="B251" s="1"/>
  <c r="B418" s="1"/>
  <c r="B585" s="1"/>
  <c r="B752" s="1"/>
  <c r="B919" s="1"/>
  <c r="B1086" s="1"/>
  <c r="B84"/>
  <c r="B83"/>
  <c r="B82"/>
  <c r="B248" s="1"/>
  <c r="B415" s="1"/>
  <c r="B582" s="1"/>
  <c r="B749" s="1"/>
  <c r="B916" s="1"/>
  <c r="B1083" s="1"/>
  <c r="B81"/>
  <c r="B247" s="1"/>
  <c r="B414" s="1"/>
  <c r="B581" s="1"/>
  <c r="B748" s="1"/>
  <c r="B915" s="1"/>
  <c r="B1082" s="1"/>
  <c r="B80"/>
  <c r="B79"/>
  <c r="B245" s="1"/>
  <c r="B412" s="1"/>
  <c r="B579" s="1"/>
  <c r="B746" s="1"/>
  <c r="B913" s="1"/>
  <c r="B1080" s="1"/>
  <c r="B78"/>
  <c r="B244"/>
  <c r="B411" s="1"/>
  <c r="B578" s="1"/>
  <c r="B745" s="1"/>
  <c r="B912" s="1"/>
  <c r="B1079" s="1"/>
  <c r="B77"/>
  <c r="B243" s="1"/>
  <c r="B410" s="1"/>
  <c r="B577" s="1"/>
  <c r="B744" s="1"/>
  <c r="B911" s="1"/>
  <c r="B76"/>
  <c r="B75"/>
  <c r="B241"/>
  <c r="B408" s="1"/>
  <c r="B575" s="1"/>
  <c r="B742" s="1"/>
  <c r="B909"/>
  <c r="B1076" s="1"/>
  <c r="B74"/>
  <c r="B240" s="1"/>
  <c r="B407" s="1"/>
  <c r="B574" s="1"/>
  <c r="B741" s="1"/>
  <c r="B908" s="1"/>
  <c r="B1075" s="1"/>
  <c r="B73"/>
  <c r="B72"/>
  <c r="B71"/>
  <c r="B237" s="1"/>
  <c r="B404" s="1"/>
  <c r="B571" s="1"/>
  <c r="B738" s="1"/>
  <c r="B905" s="1"/>
  <c r="B1072" s="1"/>
  <c r="B70"/>
  <c r="B236" s="1"/>
  <c r="B403" s="1"/>
  <c r="B570" s="1"/>
  <c r="B737"/>
  <c r="B904" s="1"/>
  <c r="B1071" s="1"/>
  <c r="B69"/>
  <c r="B235" s="1"/>
  <c r="B402" s="1"/>
  <c r="B569" s="1"/>
  <c r="B736" s="1"/>
  <c r="B903" s="1"/>
  <c r="B1070" s="1"/>
  <c r="B68"/>
  <c r="B67"/>
  <c r="B233" s="1"/>
  <c r="B400"/>
  <c r="B567" s="1"/>
  <c r="B734"/>
  <c r="B901"/>
  <c r="B1068" s="1"/>
  <c r="B66"/>
  <c r="B232"/>
  <c r="B65"/>
  <c r="B64"/>
  <c r="B63"/>
  <c r="B62"/>
  <c r="B228"/>
  <c r="B395" s="1"/>
  <c r="B562" s="1"/>
  <c r="B729" s="1"/>
  <c r="B896" s="1"/>
  <c r="B1063" s="1"/>
  <c r="B61"/>
  <c r="B227"/>
  <c r="B394" s="1"/>
  <c r="B561" s="1"/>
  <c r="B60"/>
  <c r="B59"/>
  <c r="B225" s="1"/>
  <c r="B392" s="1"/>
  <c r="B559" s="1"/>
  <c r="B726"/>
  <c r="B893" s="1"/>
  <c r="B1060" s="1"/>
  <c r="B58"/>
  <c r="B224"/>
  <c r="B391" s="1"/>
  <c r="B558" s="1"/>
  <c r="B725" s="1"/>
  <c r="B892" s="1"/>
  <c r="B1059" s="1"/>
  <c r="B57"/>
  <c r="B223" s="1"/>
  <c r="B56"/>
  <c r="B222" s="1"/>
  <c r="B55"/>
  <c r="B221" s="1"/>
  <c r="B388" s="1"/>
  <c r="B555" s="1"/>
  <c r="B722" s="1"/>
  <c r="B889" s="1"/>
  <c r="B1056" s="1"/>
  <c r="B54"/>
  <c r="B220"/>
  <c r="B387" s="1"/>
  <c r="B554" s="1"/>
  <c r="B721" s="1"/>
  <c r="B888" s="1"/>
  <c r="B1055" s="1"/>
  <c r="B53"/>
  <c r="B219" s="1"/>
  <c r="B386" s="1"/>
  <c r="B553" s="1"/>
  <c r="B720" s="1"/>
  <c r="B887" s="1"/>
  <c r="B1054" s="1"/>
  <c r="B52"/>
  <c r="B51"/>
  <c r="B217"/>
  <c r="B384" s="1"/>
  <c r="B551"/>
  <c r="B718" s="1"/>
  <c r="B885" s="1"/>
  <c r="B1052" s="1"/>
  <c r="B50"/>
  <c r="B216" s="1"/>
  <c r="B383" s="1"/>
  <c r="B550" s="1"/>
  <c r="B49"/>
  <c r="B215" s="1"/>
  <c r="B382" s="1"/>
  <c r="B549" s="1"/>
  <c r="B716" s="1"/>
  <c r="B883" s="1"/>
  <c r="B1050" s="1"/>
  <c r="B48"/>
  <c r="B47"/>
  <c r="B213" s="1"/>
  <c r="B46"/>
  <c r="B212"/>
  <c r="B379" s="1"/>
  <c r="B546" s="1"/>
  <c r="B713" s="1"/>
  <c r="B45"/>
  <c r="B211"/>
  <c r="B44"/>
  <c r="B43"/>
  <c r="B209" s="1"/>
  <c r="B376" s="1"/>
  <c r="B543" s="1"/>
  <c r="B710" s="1"/>
  <c r="B877" s="1"/>
  <c r="B1044" s="1"/>
  <c r="B42"/>
  <c r="B208"/>
  <c r="B375" s="1"/>
  <c r="B542" s="1"/>
  <c r="B709" s="1"/>
  <c r="B41"/>
  <c r="B40"/>
  <c r="B206" s="1"/>
  <c r="B373" s="1"/>
  <c r="B540" s="1"/>
  <c r="B707" s="1"/>
  <c r="B874" s="1"/>
  <c r="B1041" s="1"/>
  <c r="B39"/>
  <c r="B205" s="1"/>
  <c r="B372" s="1"/>
  <c r="B539" s="1"/>
  <c r="B706" s="1"/>
  <c r="B873" s="1"/>
  <c r="B1040" s="1"/>
  <c r="B38"/>
  <c r="B204" s="1"/>
  <c r="B37"/>
  <c r="B203" s="1"/>
  <c r="B370" s="1"/>
  <c r="B36"/>
  <c r="B202" s="1"/>
  <c r="B369" s="1"/>
  <c r="B536" s="1"/>
  <c r="B703" s="1"/>
  <c r="B870" s="1"/>
  <c r="B1037" s="1"/>
  <c r="B35"/>
  <c r="B201"/>
  <c r="B368"/>
  <c r="B535" s="1"/>
  <c r="B702" s="1"/>
  <c r="B869" s="1"/>
  <c r="B1036" s="1"/>
  <c r="B34"/>
  <c r="B200" s="1"/>
  <c r="B33"/>
  <c r="B199" s="1"/>
  <c r="B32"/>
  <c r="B198" s="1"/>
  <c r="B365" s="1"/>
  <c r="B532" s="1"/>
  <c r="B699" s="1"/>
  <c r="B866" s="1"/>
  <c r="B1033" s="1"/>
  <c r="B31"/>
  <c r="B197" s="1"/>
  <c r="B364" s="1"/>
  <c r="B531" s="1"/>
  <c r="B698" s="1"/>
  <c r="B865" s="1"/>
  <c r="B1032" s="1"/>
  <c r="B30"/>
  <c r="B196"/>
  <c r="B363" s="1"/>
  <c r="B530"/>
  <c r="B697" s="1"/>
  <c r="B864" s="1"/>
  <c r="B1031" s="1"/>
  <c r="B29"/>
  <c r="B195" s="1"/>
  <c r="B28"/>
  <c r="B27"/>
  <c r="B193"/>
  <c r="B360" s="1"/>
  <c r="B527" s="1"/>
  <c r="B694" s="1"/>
  <c r="B861" s="1"/>
  <c r="B1028" s="1"/>
  <c r="B26"/>
  <c r="B192" s="1"/>
  <c r="B359" s="1"/>
  <c r="B526" s="1"/>
  <c r="B693" s="1"/>
  <c r="B860" s="1"/>
  <c r="B1027" s="1"/>
  <c r="B25"/>
  <c r="B24"/>
  <c r="B23"/>
  <c r="B189" s="1"/>
  <c r="B356" s="1"/>
  <c r="B523" s="1"/>
  <c r="B22"/>
  <c r="B188" s="1"/>
  <c r="B355" s="1"/>
  <c r="B522" s="1"/>
  <c r="B689" s="1"/>
  <c r="B856" s="1"/>
  <c r="B1023" s="1"/>
  <c r="B21"/>
  <c r="B187"/>
  <c r="B354" s="1"/>
  <c r="B521" s="1"/>
  <c r="B688" s="1"/>
  <c r="B855" s="1"/>
  <c r="B1022" s="1"/>
  <c r="E685"/>
  <c r="E11" s="1"/>
  <c r="B684"/>
  <c r="B851" s="1"/>
  <c r="B1018"/>
  <c r="B1185" s="1"/>
  <c r="B349"/>
  <c r="B516" s="1"/>
  <c r="B683" s="1"/>
  <c r="B850" s="1"/>
  <c r="B1017"/>
  <c r="B1184" s="1"/>
  <c r="B677"/>
  <c r="B844" s="1"/>
  <c r="B1011"/>
  <c r="B1178" s="1"/>
  <c r="B342"/>
  <c r="B509" s="1"/>
  <c r="B676" s="1"/>
  <c r="B843" s="1"/>
  <c r="B1010"/>
  <c r="B1177" s="1"/>
  <c r="B341"/>
  <c r="B508"/>
  <c r="B675" s="1"/>
  <c r="B842" s="1"/>
  <c r="B1009" s="1"/>
  <c r="B1176" s="1"/>
  <c r="B506"/>
  <c r="B673" s="1"/>
  <c r="B840"/>
  <c r="B1007"/>
  <c r="B1174" s="1"/>
  <c r="B338"/>
  <c r="B505"/>
  <c r="B672" s="1"/>
  <c r="B839"/>
  <c r="B1006" s="1"/>
  <c r="B1173" s="1"/>
  <c r="B503"/>
  <c r="B670"/>
  <c r="B837" s="1"/>
  <c r="B1004" s="1"/>
  <c r="B1171" s="1"/>
  <c r="B502"/>
  <c r="B669" s="1"/>
  <c r="B836" s="1"/>
  <c r="B1003" s="1"/>
  <c r="B1170" s="1"/>
  <c r="B334"/>
  <c r="B501"/>
  <c r="B668" s="1"/>
  <c r="B835"/>
  <c r="B1002" s="1"/>
  <c r="B1169"/>
  <c r="B333"/>
  <c r="B500" s="1"/>
  <c r="B667" s="1"/>
  <c r="B834" s="1"/>
  <c r="B1001" s="1"/>
  <c r="B1168" s="1"/>
  <c r="B495"/>
  <c r="B662" s="1"/>
  <c r="B829" s="1"/>
  <c r="B996" s="1"/>
  <c r="B1163"/>
  <c r="B326"/>
  <c r="B493"/>
  <c r="B660" s="1"/>
  <c r="B827" s="1"/>
  <c r="B994" s="1"/>
  <c r="B1161" s="1"/>
  <c r="B492"/>
  <c r="B659" s="1"/>
  <c r="B826" s="1"/>
  <c r="B993" s="1"/>
  <c r="B1160" s="1"/>
  <c r="B322"/>
  <c r="B489" s="1"/>
  <c r="B656" s="1"/>
  <c r="B823" s="1"/>
  <c r="B990" s="1"/>
  <c r="B1157" s="1"/>
  <c r="B321"/>
  <c r="B488" s="1"/>
  <c r="B655"/>
  <c r="B822" s="1"/>
  <c r="B989" s="1"/>
  <c r="B1156" s="1"/>
  <c r="B821"/>
  <c r="B988" s="1"/>
  <c r="B1155"/>
  <c r="B318"/>
  <c r="B485"/>
  <c r="B652" s="1"/>
  <c r="B819" s="1"/>
  <c r="B986" s="1"/>
  <c r="B1153"/>
  <c r="B484"/>
  <c r="B651" s="1"/>
  <c r="B818" s="1"/>
  <c r="B985" s="1"/>
  <c r="B1152" s="1"/>
  <c r="B650"/>
  <c r="B817" s="1"/>
  <c r="B984"/>
  <c r="B1151" s="1"/>
  <c r="B1150"/>
  <c r="B314"/>
  <c r="B481"/>
  <c r="B648"/>
  <c r="B815" s="1"/>
  <c r="B982" s="1"/>
  <c r="B1149" s="1"/>
  <c r="B479"/>
  <c r="B646"/>
  <c r="B813" s="1"/>
  <c r="B980"/>
  <c r="B1147"/>
  <c r="B478"/>
  <c r="B645" s="1"/>
  <c r="B812" s="1"/>
  <c r="B979" s="1"/>
  <c r="B1146" s="1"/>
  <c r="B310"/>
  <c r="B477"/>
  <c r="B644"/>
  <c r="B811" s="1"/>
  <c r="B978" s="1"/>
  <c r="B1145" s="1"/>
  <c r="B476"/>
  <c r="B643" s="1"/>
  <c r="B810"/>
  <c r="B977"/>
  <c r="B1144" s="1"/>
  <c r="B471"/>
  <c r="B638" s="1"/>
  <c r="B805"/>
  <c r="B972"/>
  <c r="B1139" s="1"/>
  <c r="B301"/>
  <c r="B468" s="1"/>
  <c r="B635"/>
  <c r="B802" s="1"/>
  <c r="B969" s="1"/>
  <c r="B1136" s="1"/>
  <c r="B630"/>
  <c r="B797"/>
  <c r="B964" s="1"/>
  <c r="B1131" s="1"/>
  <c r="B295"/>
  <c r="B462" s="1"/>
  <c r="B629" s="1"/>
  <c r="B796" s="1"/>
  <c r="B963" s="1"/>
  <c r="B1130" s="1"/>
  <c r="B294"/>
  <c r="B461" s="1"/>
  <c r="B628" s="1"/>
  <c r="B795" s="1"/>
  <c r="B962"/>
  <c r="B1129" s="1"/>
  <c r="B293"/>
  <c r="B460" s="1"/>
  <c r="B627" s="1"/>
  <c r="B794" s="1"/>
  <c r="B961" s="1"/>
  <c r="B1128" s="1"/>
  <c r="B458"/>
  <c r="B625" s="1"/>
  <c r="B792"/>
  <c r="B959" s="1"/>
  <c r="B1126" s="1"/>
  <c r="B290"/>
  <c r="B457"/>
  <c r="B624" s="1"/>
  <c r="B791" s="1"/>
  <c r="B958" s="1"/>
  <c r="B1125" s="1"/>
  <c r="B286"/>
  <c r="B453"/>
  <c r="B620"/>
  <c r="B787" s="1"/>
  <c r="B954" s="1"/>
  <c r="B1121" s="1"/>
  <c r="B452"/>
  <c r="B619" s="1"/>
  <c r="B786" s="1"/>
  <c r="B953" s="1"/>
  <c r="B1120" s="1"/>
  <c r="B951"/>
  <c r="B1118" s="1"/>
  <c r="B282"/>
  <c r="B449"/>
  <c r="B616" s="1"/>
  <c r="B783" s="1"/>
  <c r="B950" s="1"/>
  <c r="B1117" s="1"/>
  <c r="B447"/>
  <c r="B614" s="1"/>
  <c r="B781" s="1"/>
  <c r="B948" s="1"/>
  <c r="B1115" s="1"/>
  <c r="B780"/>
  <c r="B947" s="1"/>
  <c r="B1114"/>
  <c r="B278"/>
  <c r="B445" s="1"/>
  <c r="B612" s="1"/>
  <c r="B779" s="1"/>
  <c r="B946" s="1"/>
  <c r="B1113" s="1"/>
  <c r="B610"/>
  <c r="B777" s="1"/>
  <c r="B944"/>
  <c r="B1111" s="1"/>
  <c r="B274"/>
  <c r="B441"/>
  <c r="B608" s="1"/>
  <c r="B775" s="1"/>
  <c r="B942" s="1"/>
  <c r="B1109" s="1"/>
  <c r="B439"/>
  <c r="B606"/>
  <c r="B773" s="1"/>
  <c r="B940" s="1"/>
  <c r="B1107" s="1"/>
  <c r="B271"/>
  <c r="B438" s="1"/>
  <c r="B605" s="1"/>
  <c r="B772" s="1"/>
  <c r="B939"/>
  <c r="B1106" s="1"/>
  <c r="B269"/>
  <c r="B436" s="1"/>
  <c r="B603" s="1"/>
  <c r="B770" s="1"/>
  <c r="B937" s="1"/>
  <c r="B1104" s="1"/>
  <c r="B434"/>
  <c r="B601"/>
  <c r="B768" s="1"/>
  <c r="B935" s="1"/>
  <c r="B1102" s="1"/>
  <c r="B266"/>
  <c r="B433" s="1"/>
  <c r="B600" s="1"/>
  <c r="B767" s="1"/>
  <c r="B934" s="1"/>
  <c r="B1101" s="1"/>
  <c r="B765"/>
  <c r="B932" s="1"/>
  <c r="B1099" s="1"/>
  <c r="B263"/>
  <c r="B430"/>
  <c r="B597" s="1"/>
  <c r="B764" s="1"/>
  <c r="B931" s="1"/>
  <c r="B1098" s="1"/>
  <c r="B262"/>
  <c r="B429"/>
  <c r="B596" s="1"/>
  <c r="B763" s="1"/>
  <c r="B930" s="1"/>
  <c r="B1097" s="1"/>
  <c r="B929"/>
  <c r="B1096"/>
  <c r="B258"/>
  <c r="B425" s="1"/>
  <c r="B592" s="1"/>
  <c r="B759" s="1"/>
  <c r="B926" s="1"/>
  <c r="B1093" s="1"/>
  <c r="B924"/>
  <c r="B1091" s="1"/>
  <c r="B756"/>
  <c r="B923" s="1"/>
  <c r="B1090"/>
  <c r="B254"/>
  <c r="B421"/>
  <c r="B588" s="1"/>
  <c r="B755" s="1"/>
  <c r="B922" s="1"/>
  <c r="B1089" s="1"/>
  <c r="B420"/>
  <c r="B587"/>
  <c r="B754"/>
  <c r="B921" s="1"/>
  <c r="B1088" s="1"/>
  <c r="B250"/>
  <c r="B417" s="1"/>
  <c r="B584" s="1"/>
  <c r="B751" s="1"/>
  <c r="B918" s="1"/>
  <c r="B1085" s="1"/>
  <c r="B249"/>
  <c r="B416"/>
  <c r="B583"/>
  <c r="B750" s="1"/>
  <c r="B917" s="1"/>
  <c r="B1084" s="1"/>
  <c r="B246"/>
  <c r="B413"/>
  <c r="B580" s="1"/>
  <c r="B747" s="1"/>
  <c r="B914" s="1"/>
  <c r="B1081" s="1"/>
  <c r="B1078"/>
  <c r="B242"/>
  <c r="B409" s="1"/>
  <c r="B576" s="1"/>
  <c r="B743" s="1"/>
  <c r="B910" s="1"/>
  <c r="B1077" s="1"/>
  <c r="B239"/>
  <c r="B406" s="1"/>
  <c r="B573" s="1"/>
  <c r="B740" s="1"/>
  <c r="B907" s="1"/>
  <c r="B1074" s="1"/>
  <c r="B238"/>
  <c r="B405" s="1"/>
  <c r="B572"/>
  <c r="B739"/>
  <c r="B906"/>
  <c r="B1073" s="1"/>
  <c r="B234"/>
  <c r="B401"/>
  <c r="B568"/>
  <c r="B735" s="1"/>
  <c r="B902" s="1"/>
  <c r="B1069" s="1"/>
  <c r="B399"/>
  <c r="B566"/>
  <c r="B733" s="1"/>
  <c r="B900"/>
  <c r="B1067" s="1"/>
  <c r="B231"/>
  <c r="B398" s="1"/>
  <c r="B565" s="1"/>
  <c r="B732" s="1"/>
  <c r="B899"/>
  <c r="B1066" s="1"/>
  <c r="B230"/>
  <c r="B397" s="1"/>
  <c r="B564" s="1"/>
  <c r="B731" s="1"/>
  <c r="B898" s="1"/>
  <c r="B1065" s="1"/>
  <c r="B229"/>
  <c r="B396" s="1"/>
  <c r="B563"/>
  <c r="B730" s="1"/>
  <c r="B897" s="1"/>
  <c r="B1064" s="1"/>
  <c r="B728"/>
  <c r="B895" s="1"/>
  <c r="B1062" s="1"/>
  <c r="B226"/>
  <c r="B393"/>
  <c r="B560" s="1"/>
  <c r="B727" s="1"/>
  <c r="B894" s="1"/>
  <c r="B1061" s="1"/>
  <c r="B390"/>
  <c r="B557" s="1"/>
  <c r="B724" s="1"/>
  <c r="B891" s="1"/>
  <c r="B1058" s="1"/>
  <c r="B389"/>
  <c r="B556" s="1"/>
  <c r="B723"/>
  <c r="B890" s="1"/>
  <c r="B1057" s="1"/>
  <c r="B218"/>
  <c r="B385" s="1"/>
  <c r="B552" s="1"/>
  <c r="B719" s="1"/>
  <c r="B886" s="1"/>
  <c r="B1053" s="1"/>
  <c r="B717"/>
  <c r="B884" s="1"/>
  <c r="B1051"/>
  <c r="B214"/>
  <c r="B381"/>
  <c r="B548"/>
  <c r="B715" s="1"/>
  <c r="B882" s="1"/>
  <c r="B1049" s="1"/>
  <c r="B380"/>
  <c r="B547" s="1"/>
  <c r="B714" s="1"/>
  <c r="B881" s="1"/>
  <c r="B1048" s="1"/>
  <c r="B880"/>
  <c r="B1047" s="1"/>
  <c r="B378"/>
  <c r="B545"/>
  <c r="B712" s="1"/>
  <c r="B879" s="1"/>
  <c r="B1046" s="1"/>
  <c r="B210"/>
  <c r="B377"/>
  <c r="B544" s="1"/>
  <c r="B711"/>
  <c r="B878"/>
  <c r="B1045" s="1"/>
  <c r="B876"/>
  <c r="B1043" s="1"/>
  <c r="B207"/>
  <c r="B374" s="1"/>
  <c r="B541" s="1"/>
  <c r="B708" s="1"/>
  <c r="B875" s="1"/>
  <c r="B1042" s="1"/>
  <c r="B371"/>
  <c r="B538" s="1"/>
  <c r="B705" s="1"/>
  <c r="B872" s="1"/>
  <c r="B1039" s="1"/>
  <c r="B537"/>
  <c r="B704"/>
  <c r="B871" s="1"/>
  <c r="B1038" s="1"/>
  <c r="B367"/>
  <c r="B534" s="1"/>
  <c r="B701" s="1"/>
  <c r="B868" s="1"/>
  <c r="B1035" s="1"/>
  <c r="B366"/>
  <c r="B533"/>
  <c r="B700"/>
  <c r="B867" s="1"/>
  <c r="B1034" s="1"/>
  <c r="B362"/>
  <c r="B529"/>
  <c r="B696" s="1"/>
  <c r="B863" s="1"/>
  <c r="B1030" s="1"/>
  <c r="B194"/>
  <c r="B361" s="1"/>
  <c r="B528"/>
  <c r="B695" s="1"/>
  <c r="B862" s="1"/>
  <c r="B1029" s="1"/>
  <c r="B191"/>
  <c r="B358" s="1"/>
  <c r="B525" s="1"/>
  <c r="B692" s="1"/>
  <c r="B859" s="1"/>
  <c r="B1026" s="1"/>
  <c r="B190"/>
  <c r="B357"/>
  <c r="B524"/>
  <c r="B691" s="1"/>
  <c r="B858" s="1"/>
  <c r="B1025" s="1"/>
  <c r="B690"/>
  <c r="B857" s="1"/>
  <c r="B1024" s="1"/>
  <c r="H852"/>
  <c r="G852"/>
  <c r="G12" s="1"/>
  <c r="F852"/>
  <c r="E852"/>
  <c r="E12" s="1"/>
  <c r="D852"/>
  <c r="D12" s="1"/>
  <c r="D518"/>
  <c r="D10"/>
  <c r="D351"/>
  <c r="D9" s="1"/>
  <c r="H12"/>
  <c r="F12"/>
  <c r="B35" i="33"/>
  <c r="B51" s="1"/>
  <c r="B69" s="1"/>
  <c r="B34"/>
  <c r="B50" s="1"/>
  <c r="B33"/>
  <c r="B49" s="1"/>
  <c r="B32"/>
  <c r="B48" s="1"/>
  <c r="B66" s="1"/>
  <c r="B31"/>
  <c r="B47"/>
  <c r="B101" s="1"/>
  <c r="B119"/>
  <c r="B30"/>
  <c r="B46" s="1"/>
  <c r="B100" s="1"/>
  <c r="B29"/>
  <c r="B45" s="1"/>
  <c r="B63" s="1"/>
  <c r="B28"/>
  <c r="B27"/>
  <c r="B43" s="1"/>
  <c r="B97" s="1"/>
  <c r="B115" s="1"/>
  <c r="B26"/>
  <c r="B42" s="1"/>
  <c r="B25"/>
  <c r="B24"/>
  <c r="B40"/>
  <c r="B94" s="1"/>
  <c r="B112" s="1"/>
  <c r="B23"/>
  <c r="B39" s="1"/>
  <c r="B57" s="1"/>
  <c r="B93"/>
  <c r="B111" s="1"/>
  <c r="B22"/>
  <c r="B118"/>
  <c r="B44"/>
  <c r="B62" s="1"/>
  <c r="B98"/>
  <c r="B116" s="1"/>
  <c r="B41"/>
  <c r="B38"/>
  <c r="B92"/>
  <c r="B110" s="1"/>
  <c r="H89"/>
  <c r="G89"/>
  <c r="F89"/>
  <c r="E89"/>
  <c r="D89"/>
  <c r="B64"/>
  <c r="B56"/>
  <c r="B186" i="32"/>
  <c r="B185"/>
  <c r="B351"/>
  <c r="B518" s="1"/>
  <c r="B685" s="1"/>
  <c r="B852" s="1"/>
  <c r="B1019" s="1"/>
  <c r="B1186" s="1"/>
  <c r="B184"/>
  <c r="B183"/>
  <c r="B349" s="1"/>
  <c r="B516"/>
  <c r="B683" s="1"/>
  <c r="B850"/>
  <c r="B1017"/>
  <c r="B1184" s="1"/>
  <c r="B182"/>
  <c r="B181"/>
  <c r="B347" s="1"/>
  <c r="B514"/>
  <c r="B681" s="1"/>
  <c r="B848" s="1"/>
  <c r="B1015" s="1"/>
  <c r="B1182" s="1"/>
  <c r="B180"/>
  <c r="B179"/>
  <c r="B345" s="1"/>
  <c r="B512"/>
  <c r="B679" s="1"/>
  <c r="B846"/>
  <c r="B1013" s="1"/>
  <c r="B1180" s="1"/>
  <c r="B178"/>
  <c r="B177"/>
  <c r="B343" s="1"/>
  <c r="B510" s="1"/>
  <c r="B677" s="1"/>
  <c r="B844" s="1"/>
  <c r="B176"/>
  <c r="B175"/>
  <c r="B341"/>
  <c r="B508"/>
  <c r="B675" s="1"/>
  <c r="B842" s="1"/>
  <c r="B1009" s="1"/>
  <c r="B1176" s="1"/>
  <c r="B174"/>
  <c r="B173"/>
  <c r="B339"/>
  <c r="B506"/>
  <c r="B673" s="1"/>
  <c r="B840" s="1"/>
  <c r="B1007" s="1"/>
  <c r="B1174" s="1"/>
  <c r="B172"/>
  <c r="B338" s="1"/>
  <c r="B505" s="1"/>
  <c r="B171"/>
  <c r="B337"/>
  <c r="B504" s="1"/>
  <c r="B671" s="1"/>
  <c r="B838" s="1"/>
  <c r="B1005" s="1"/>
  <c r="B1172" s="1"/>
  <c r="B170"/>
  <c r="B169"/>
  <c r="B335"/>
  <c r="B502"/>
  <c r="B669"/>
  <c r="B836" s="1"/>
  <c r="B1003" s="1"/>
  <c r="B1170" s="1"/>
  <c r="B168"/>
  <c r="B334" s="1"/>
  <c r="B501" s="1"/>
  <c r="B668" s="1"/>
  <c r="B835" s="1"/>
  <c r="B1002" s="1"/>
  <c r="B1169" s="1"/>
  <c r="B167"/>
  <c r="B333"/>
  <c r="B166"/>
  <c r="B332" s="1"/>
  <c r="B499" s="1"/>
  <c r="B666" s="1"/>
  <c r="B165"/>
  <c r="B331" s="1"/>
  <c r="B498" s="1"/>
  <c r="B665" s="1"/>
  <c r="B832" s="1"/>
  <c r="B999" s="1"/>
  <c r="B1166" s="1"/>
  <c r="B164"/>
  <c r="B330" s="1"/>
  <c r="B497" s="1"/>
  <c r="B664" s="1"/>
  <c r="B831" s="1"/>
  <c r="B998" s="1"/>
  <c r="B163"/>
  <c r="B329" s="1"/>
  <c r="B496" s="1"/>
  <c r="B162"/>
  <c r="B161"/>
  <c r="B327"/>
  <c r="B160"/>
  <c r="B159"/>
  <c r="B325"/>
  <c r="B492"/>
  <c r="B659" s="1"/>
  <c r="B826" s="1"/>
  <c r="B993" s="1"/>
  <c r="B1160"/>
  <c r="B158"/>
  <c r="B157"/>
  <c r="B323"/>
  <c r="B490" s="1"/>
  <c r="B657" s="1"/>
  <c r="B824" s="1"/>
  <c r="B156"/>
  <c r="B322" s="1"/>
  <c r="B489" s="1"/>
  <c r="B656" s="1"/>
  <c r="B823" s="1"/>
  <c r="B990" s="1"/>
  <c r="B1157" s="1"/>
  <c r="B155"/>
  <c r="B321"/>
  <c r="B488" s="1"/>
  <c r="B655"/>
  <c r="B822" s="1"/>
  <c r="B989"/>
  <c r="B1156" s="1"/>
  <c r="B154"/>
  <c r="B153"/>
  <c r="B319"/>
  <c r="B152"/>
  <c r="B151"/>
  <c r="B317" s="1"/>
  <c r="B484"/>
  <c r="B651"/>
  <c r="B818" s="1"/>
  <c r="B985" s="1"/>
  <c r="B1152" s="1"/>
  <c r="B150"/>
  <c r="B316" s="1"/>
  <c r="B149"/>
  <c r="B315" s="1"/>
  <c r="B482"/>
  <c r="B649" s="1"/>
  <c r="B816" s="1"/>
  <c r="B983" s="1"/>
  <c r="B1150" s="1"/>
  <c r="B148"/>
  <c r="B147"/>
  <c r="B313" s="1"/>
  <c r="B480" s="1"/>
  <c r="B647" s="1"/>
  <c r="B814" s="1"/>
  <c r="B981" s="1"/>
  <c r="B1148" s="1"/>
  <c r="B146"/>
  <c r="B312" s="1"/>
  <c r="B479" s="1"/>
  <c r="B646" s="1"/>
  <c r="B145"/>
  <c r="B311" s="1"/>
  <c r="B144"/>
  <c r="B143"/>
  <c r="B309"/>
  <c r="B476" s="1"/>
  <c r="B643" s="1"/>
  <c r="B810" s="1"/>
  <c r="B977" s="1"/>
  <c r="B1144" s="1"/>
  <c r="B142"/>
  <c r="B308" s="1"/>
  <c r="B475" s="1"/>
  <c r="B141"/>
  <c r="B307"/>
  <c r="B474" s="1"/>
  <c r="B641" s="1"/>
  <c r="B808" s="1"/>
  <c r="B975" s="1"/>
  <c r="B1142" s="1"/>
  <c r="B140"/>
  <c r="B306" s="1"/>
  <c r="B473" s="1"/>
  <c r="B640" s="1"/>
  <c r="B807" s="1"/>
  <c r="B974" s="1"/>
  <c r="B1141" s="1"/>
  <c r="B139"/>
  <c r="B305"/>
  <c r="B472" s="1"/>
  <c r="B639" s="1"/>
  <c r="B806" s="1"/>
  <c r="B973" s="1"/>
  <c r="B1140" s="1"/>
  <c r="B138"/>
  <c r="B304" s="1"/>
  <c r="B471" s="1"/>
  <c r="B137"/>
  <c r="B303"/>
  <c r="B470" s="1"/>
  <c r="B637" s="1"/>
  <c r="B804" s="1"/>
  <c r="B971" s="1"/>
  <c r="B1138" s="1"/>
  <c r="B136"/>
  <c r="B135"/>
  <c r="B301" s="1"/>
  <c r="B468" s="1"/>
  <c r="B635" s="1"/>
  <c r="B802" s="1"/>
  <c r="B969" s="1"/>
  <c r="B1136" s="1"/>
  <c r="B134"/>
  <c r="B133"/>
  <c r="B299" s="1"/>
  <c r="B466"/>
  <c r="B633" s="1"/>
  <c r="B800"/>
  <c r="B967" s="1"/>
  <c r="B1134" s="1"/>
  <c r="B132"/>
  <c r="B131"/>
  <c r="B297" s="1"/>
  <c r="B464" s="1"/>
  <c r="B631" s="1"/>
  <c r="B798" s="1"/>
  <c r="B965" s="1"/>
  <c r="B1132" s="1"/>
  <c r="B130"/>
  <c r="B129"/>
  <c r="B295"/>
  <c r="B128"/>
  <c r="B294" s="1"/>
  <c r="B461" s="1"/>
  <c r="B628" s="1"/>
  <c r="B795" s="1"/>
  <c r="B127"/>
  <c r="B293" s="1"/>
  <c r="B460" s="1"/>
  <c r="B627" s="1"/>
  <c r="B794"/>
  <c r="B961" s="1"/>
  <c r="B1128"/>
  <c r="B126"/>
  <c r="B292" s="1"/>
  <c r="B459" s="1"/>
  <c r="B626" s="1"/>
  <c r="B793" s="1"/>
  <c r="B960" s="1"/>
  <c r="B1127" s="1"/>
  <c r="B125"/>
  <c r="B291" s="1"/>
  <c r="B124"/>
  <c r="B123"/>
  <c r="B289"/>
  <c r="B456" s="1"/>
  <c r="B623" s="1"/>
  <c r="B790" s="1"/>
  <c r="B957"/>
  <c r="B1124" s="1"/>
  <c r="B122"/>
  <c r="B121"/>
  <c r="B287"/>
  <c r="B454" s="1"/>
  <c r="B621" s="1"/>
  <c r="B788" s="1"/>
  <c r="B955" s="1"/>
  <c r="B1122" s="1"/>
  <c r="B120"/>
  <c r="B119"/>
  <c r="B285" s="1"/>
  <c r="B452" s="1"/>
  <c r="B619" s="1"/>
  <c r="B786" s="1"/>
  <c r="B953" s="1"/>
  <c r="B1120" s="1"/>
  <c r="B118"/>
  <c r="B117"/>
  <c r="B283"/>
  <c r="B450"/>
  <c r="B617" s="1"/>
  <c r="B784" s="1"/>
  <c r="B951" s="1"/>
  <c r="B1118"/>
  <c r="B116"/>
  <c r="B115"/>
  <c r="B281"/>
  <c r="B448"/>
  <c r="B615" s="1"/>
  <c r="B782" s="1"/>
  <c r="B949" s="1"/>
  <c r="B1116" s="1"/>
  <c r="B114"/>
  <c r="B113"/>
  <c r="B279"/>
  <c r="B446" s="1"/>
  <c r="B112"/>
  <c r="B111"/>
  <c r="B277"/>
  <c r="B444" s="1"/>
  <c r="B611" s="1"/>
  <c r="B778" s="1"/>
  <c r="B945" s="1"/>
  <c r="B1112" s="1"/>
  <c r="B110"/>
  <c r="B109"/>
  <c r="B275"/>
  <c r="B442" s="1"/>
  <c r="B609"/>
  <c r="B776" s="1"/>
  <c r="B943"/>
  <c r="B1110"/>
  <c r="B108"/>
  <c r="B107"/>
  <c r="B273"/>
  <c r="B440" s="1"/>
  <c r="B607"/>
  <c r="B774" s="1"/>
  <c r="B941" s="1"/>
  <c r="B1108" s="1"/>
  <c r="B106"/>
  <c r="B272" s="1"/>
  <c r="B439" s="1"/>
  <c r="B105"/>
  <c r="B271"/>
  <c r="B438" s="1"/>
  <c r="B605"/>
  <c r="B772" s="1"/>
  <c r="B939"/>
  <c r="B1106"/>
  <c r="B104"/>
  <c r="B103"/>
  <c r="B269"/>
  <c r="B102"/>
  <c r="B268" s="1"/>
  <c r="B435" s="1"/>
  <c r="B602" s="1"/>
  <c r="B769" s="1"/>
  <c r="B936" s="1"/>
  <c r="B1103" s="1"/>
  <c r="B101"/>
  <c r="B267" s="1"/>
  <c r="B434"/>
  <c r="B601"/>
  <c r="B768"/>
  <c r="B935" s="1"/>
  <c r="B1102" s="1"/>
  <c r="B100"/>
  <c r="B99"/>
  <c r="B265" s="1"/>
  <c r="B432" s="1"/>
  <c r="B599" s="1"/>
  <c r="B766" s="1"/>
  <c r="B933" s="1"/>
  <c r="B1100" s="1"/>
  <c r="B98"/>
  <c r="B264" s="1"/>
  <c r="B431" s="1"/>
  <c r="B598" s="1"/>
  <c r="B765" s="1"/>
  <c r="B97"/>
  <c r="B263" s="1"/>
  <c r="B96"/>
  <c r="B95"/>
  <c r="B261" s="1"/>
  <c r="B428"/>
  <c r="B595" s="1"/>
  <c r="B762" s="1"/>
  <c r="B929" s="1"/>
  <c r="B1096" s="1"/>
  <c r="B94"/>
  <c r="B93"/>
  <c r="B259" s="1"/>
  <c r="B426" s="1"/>
  <c r="B92"/>
  <c r="B91"/>
  <c r="B257"/>
  <c r="B424" s="1"/>
  <c r="B591" s="1"/>
  <c r="B758" s="1"/>
  <c r="B925" s="1"/>
  <c r="B1092" s="1"/>
  <c r="B90"/>
  <c r="B256" s="1"/>
  <c r="B423" s="1"/>
  <c r="B590" s="1"/>
  <c r="B757" s="1"/>
  <c r="B924" s="1"/>
  <c r="B1091" s="1"/>
  <c r="B89"/>
  <c r="B255"/>
  <c r="B88"/>
  <c r="B254" s="1"/>
  <c r="B87"/>
  <c r="B253" s="1"/>
  <c r="B420" s="1"/>
  <c r="B587" s="1"/>
  <c r="B754"/>
  <c r="B921" s="1"/>
  <c r="B1088" s="1"/>
  <c r="B86"/>
  <c r="B252" s="1"/>
  <c r="B85"/>
  <c r="B251" s="1"/>
  <c r="B418" s="1"/>
  <c r="B585" s="1"/>
  <c r="B752" s="1"/>
  <c r="B919" s="1"/>
  <c r="B1086" s="1"/>
  <c r="B84"/>
  <c r="B250" s="1"/>
  <c r="B417" s="1"/>
  <c r="B584" s="1"/>
  <c r="B751" s="1"/>
  <c r="B918" s="1"/>
  <c r="B1085" s="1"/>
  <c r="B83"/>
  <c r="B249" s="1"/>
  <c r="B416" s="1"/>
  <c r="B583" s="1"/>
  <c r="B750"/>
  <c r="B917" s="1"/>
  <c r="B1084" s="1"/>
  <c r="B82"/>
  <c r="B248" s="1"/>
  <c r="B415" s="1"/>
  <c r="B582" s="1"/>
  <c r="B81"/>
  <c r="B247" s="1"/>
  <c r="B414" s="1"/>
  <c r="B581" s="1"/>
  <c r="B748" s="1"/>
  <c r="B915" s="1"/>
  <c r="B1082" s="1"/>
  <c r="B80"/>
  <c r="B79"/>
  <c r="B245"/>
  <c r="B412" s="1"/>
  <c r="B579"/>
  <c r="B746"/>
  <c r="B913" s="1"/>
  <c r="B1080" s="1"/>
  <c r="B78"/>
  <c r="B77"/>
  <c r="B243"/>
  <c r="B410" s="1"/>
  <c r="B577" s="1"/>
  <c r="B744" s="1"/>
  <c r="B911" s="1"/>
  <c r="B1078" s="1"/>
  <c r="B76"/>
  <c r="B75"/>
  <c r="B241"/>
  <c r="B408" s="1"/>
  <c r="B575"/>
  <c r="B742" s="1"/>
  <c r="B909" s="1"/>
  <c r="B1076" s="1"/>
  <c r="B74"/>
  <c r="B73"/>
  <c r="B239"/>
  <c r="B406" s="1"/>
  <c r="B573" s="1"/>
  <c r="B740" s="1"/>
  <c r="B907"/>
  <c r="B1074" s="1"/>
  <c r="B72"/>
  <c r="B71"/>
  <c r="B237"/>
  <c r="B70"/>
  <c r="B69"/>
  <c r="B235" s="1"/>
  <c r="B402" s="1"/>
  <c r="B569" s="1"/>
  <c r="B736" s="1"/>
  <c r="B903" s="1"/>
  <c r="B1070"/>
  <c r="B68"/>
  <c r="B67"/>
  <c r="B233"/>
  <c r="B66"/>
  <c r="B65"/>
  <c r="B231"/>
  <c r="B64"/>
  <c r="B63"/>
  <c r="B229" s="1"/>
  <c r="B396" s="1"/>
  <c r="B563" s="1"/>
  <c r="B730" s="1"/>
  <c r="B897" s="1"/>
  <c r="B1064" s="1"/>
  <c r="B62"/>
  <c r="B228" s="1"/>
  <c r="B395" s="1"/>
  <c r="B562" s="1"/>
  <c r="B729" s="1"/>
  <c r="B896" s="1"/>
  <c r="B61"/>
  <c r="B227"/>
  <c r="B60"/>
  <c r="B59"/>
  <c r="B225" s="1"/>
  <c r="B392" s="1"/>
  <c r="B559" s="1"/>
  <c r="B726" s="1"/>
  <c r="B893" s="1"/>
  <c r="B1060" s="1"/>
  <c r="B58"/>
  <c r="B57"/>
  <c r="B223" s="1"/>
  <c r="B390" s="1"/>
  <c r="B557" s="1"/>
  <c r="B724" s="1"/>
  <c r="B891" s="1"/>
  <c r="B1058" s="1"/>
  <c r="B56"/>
  <c r="B55"/>
  <c r="B221"/>
  <c r="B388"/>
  <c r="B555"/>
  <c r="B722" s="1"/>
  <c r="B889" s="1"/>
  <c r="B1056" s="1"/>
  <c r="B54"/>
  <c r="B220" s="1"/>
  <c r="B387" s="1"/>
  <c r="B554" s="1"/>
  <c r="B721" s="1"/>
  <c r="B888" s="1"/>
  <c r="B1055" s="1"/>
  <c r="B53"/>
  <c r="B219"/>
  <c r="B386"/>
  <c r="B553"/>
  <c r="B720" s="1"/>
  <c r="B887" s="1"/>
  <c r="B1054" s="1"/>
  <c r="B52"/>
  <c r="B51"/>
  <c r="B217"/>
  <c r="B384"/>
  <c r="B551" s="1"/>
  <c r="B718" s="1"/>
  <c r="B885" s="1"/>
  <c r="B1052" s="1"/>
  <c r="B50"/>
  <c r="B49"/>
  <c r="B215"/>
  <c r="B48"/>
  <c r="B214" s="1"/>
  <c r="B47"/>
  <c r="B213" s="1"/>
  <c r="B380" s="1"/>
  <c r="B547" s="1"/>
  <c r="B714"/>
  <c r="B881" s="1"/>
  <c r="B1048" s="1"/>
  <c r="B46"/>
  <c r="B212" s="1"/>
  <c r="B45"/>
  <c r="B211" s="1"/>
  <c r="B378" s="1"/>
  <c r="B545" s="1"/>
  <c r="B712"/>
  <c r="B879" s="1"/>
  <c r="B1046"/>
  <c r="B44"/>
  <c r="B43"/>
  <c r="B209" s="1"/>
  <c r="B376" s="1"/>
  <c r="B543" s="1"/>
  <c r="B710"/>
  <c r="B877" s="1"/>
  <c r="B1044" s="1"/>
  <c r="B42"/>
  <c r="B208" s="1"/>
  <c r="B41"/>
  <c r="B207" s="1"/>
  <c r="B374" s="1"/>
  <c r="B541" s="1"/>
  <c r="B708" s="1"/>
  <c r="B875" s="1"/>
  <c r="B1042" s="1"/>
  <c r="B40"/>
  <c r="B39"/>
  <c r="B205" s="1"/>
  <c r="B372" s="1"/>
  <c r="B38"/>
  <c r="B37"/>
  <c r="B203"/>
  <c r="B370" s="1"/>
  <c r="B537"/>
  <c r="B704" s="1"/>
  <c r="B871" s="1"/>
  <c r="B1038" s="1"/>
  <c r="B36"/>
  <c r="B35"/>
  <c r="B201"/>
  <c r="B368" s="1"/>
  <c r="B535" s="1"/>
  <c r="B702" s="1"/>
  <c r="B869" s="1"/>
  <c r="B1036" s="1"/>
  <c r="B34"/>
  <c r="B33"/>
  <c r="B199"/>
  <c r="B366" s="1"/>
  <c r="B533" s="1"/>
  <c r="B700" s="1"/>
  <c r="B867" s="1"/>
  <c r="B1034" s="1"/>
  <c r="B32"/>
  <c r="B31"/>
  <c r="B197"/>
  <c r="B364" s="1"/>
  <c r="B531" s="1"/>
  <c r="B698" s="1"/>
  <c r="B865" s="1"/>
  <c r="B1032" s="1"/>
  <c r="B30"/>
  <c r="B196" s="1"/>
  <c r="B363" s="1"/>
  <c r="B530" s="1"/>
  <c r="B29"/>
  <c r="B195"/>
  <c r="B362" s="1"/>
  <c r="B529" s="1"/>
  <c r="B696" s="1"/>
  <c r="B863" s="1"/>
  <c r="B1030" s="1"/>
  <c r="B28"/>
  <c r="B194" s="1"/>
  <c r="B361" s="1"/>
  <c r="B528" s="1"/>
  <c r="B695" s="1"/>
  <c r="B862" s="1"/>
  <c r="B1029" s="1"/>
  <c r="B27"/>
  <c r="B193"/>
  <c r="B26"/>
  <c r="B192" s="1"/>
  <c r="B25"/>
  <c r="B191" s="1"/>
  <c r="B358" s="1"/>
  <c r="B525" s="1"/>
  <c r="B692" s="1"/>
  <c r="B859" s="1"/>
  <c r="B1026" s="1"/>
  <c r="B24"/>
  <c r="B23"/>
  <c r="B189" s="1"/>
  <c r="B356" s="1"/>
  <c r="B523" s="1"/>
  <c r="B690" s="1"/>
  <c r="B857" s="1"/>
  <c r="B1024" s="1"/>
  <c r="B352"/>
  <c r="B519" s="1"/>
  <c r="B686" s="1"/>
  <c r="B853" s="1"/>
  <c r="B1020" s="1"/>
  <c r="B1187" s="1"/>
  <c r="B350"/>
  <c r="B517"/>
  <c r="B684" s="1"/>
  <c r="B851" s="1"/>
  <c r="B1018" s="1"/>
  <c r="B1185" s="1"/>
  <c r="B348"/>
  <c r="B515"/>
  <c r="B682" s="1"/>
  <c r="B849" s="1"/>
  <c r="B1016" s="1"/>
  <c r="B1183" s="1"/>
  <c r="B346"/>
  <c r="B513"/>
  <c r="B680"/>
  <c r="B847" s="1"/>
  <c r="B1014" s="1"/>
  <c r="B1181" s="1"/>
  <c r="B344"/>
  <c r="B511"/>
  <c r="B678" s="1"/>
  <c r="B845"/>
  <c r="B1012" s="1"/>
  <c r="B1179" s="1"/>
  <c r="B1011"/>
  <c r="B1178" s="1"/>
  <c r="B342"/>
  <c r="B509" s="1"/>
  <c r="B676" s="1"/>
  <c r="B843" s="1"/>
  <c r="B1010" s="1"/>
  <c r="B1177" s="1"/>
  <c r="B340"/>
  <c r="B507" s="1"/>
  <c r="B674"/>
  <c r="B841" s="1"/>
  <c r="B1008" s="1"/>
  <c r="B1175" s="1"/>
  <c r="B672"/>
  <c r="B839" s="1"/>
  <c r="B1006"/>
  <c r="B1173" s="1"/>
  <c r="B336"/>
  <c r="B503" s="1"/>
  <c r="B670" s="1"/>
  <c r="B837" s="1"/>
  <c r="B1004" s="1"/>
  <c r="B1171" s="1"/>
  <c r="B500"/>
  <c r="B667" s="1"/>
  <c r="B834" s="1"/>
  <c r="B1001" s="1"/>
  <c r="B1168" s="1"/>
  <c r="B833"/>
  <c r="B1000" s="1"/>
  <c r="B1167"/>
  <c r="B1165"/>
  <c r="B663"/>
  <c r="B830" s="1"/>
  <c r="B997" s="1"/>
  <c r="B1164" s="1"/>
  <c r="B328"/>
  <c r="B495" s="1"/>
  <c r="B662"/>
  <c r="B829" s="1"/>
  <c r="B996" s="1"/>
  <c r="B1163" s="1"/>
  <c r="B494"/>
  <c r="B661" s="1"/>
  <c r="B828" s="1"/>
  <c r="B995" s="1"/>
  <c r="B1162" s="1"/>
  <c r="B326"/>
  <c r="B493"/>
  <c r="B660" s="1"/>
  <c r="B827" s="1"/>
  <c r="B994" s="1"/>
  <c r="B1161" s="1"/>
  <c r="B324"/>
  <c r="B491"/>
  <c r="B658" s="1"/>
  <c r="B825"/>
  <c r="B992"/>
  <c r="B1159" s="1"/>
  <c r="B991"/>
  <c r="B1158" s="1"/>
  <c r="B320"/>
  <c r="B487" s="1"/>
  <c r="B654"/>
  <c r="B821"/>
  <c r="B988" s="1"/>
  <c r="B1155" s="1"/>
  <c r="B486"/>
  <c r="B653" s="1"/>
  <c r="B820" s="1"/>
  <c r="B987" s="1"/>
  <c r="B1154" s="1"/>
  <c r="B318"/>
  <c r="B485"/>
  <c r="B652" s="1"/>
  <c r="B819" s="1"/>
  <c r="B986" s="1"/>
  <c r="B1153"/>
  <c r="B483"/>
  <c r="B650" s="1"/>
  <c r="B817" s="1"/>
  <c r="B984" s="1"/>
  <c r="B1151" s="1"/>
  <c r="B314"/>
  <c r="B481"/>
  <c r="B648" s="1"/>
  <c r="B815" s="1"/>
  <c r="B982" s="1"/>
  <c r="B1149"/>
  <c r="B813"/>
  <c r="B980" s="1"/>
  <c r="B1147" s="1"/>
  <c r="B478"/>
  <c r="B645" s="1"/>
  <c r="B812" s="1"/>
  <c r="B979" s="1"/>
  <c r="B1146" s="1"/>
  <c r="B310"/>
  <c r="B477" s="1"/>
  <c r="B644" s="1"/>
  <c r="B811" s="1"/>
  <c r="B978"/>
  <c r="B1145" s="1"/>
  <c r="B642"/>
  <c r="B809" s="1"/>
  <c r="B976" s="1"/>
  <c r="B1143" s="1"/>
  <c r="B638"/>
  <c r="B805" s="1"/>
  <c r="B972" s="1"/>
  <c r="B1139" s="1"/>
  <c r="B302"/>
  <c r="B469" s="1"/>
  <c r="B636" s="1"/>
  <c r="B803" s="1"/>
  <c r="B970" s="1"/>
  <c r="B1137" s="1"/>
  <c r="B300"/>
  <c r="B467"/>
  <c r="B634" s="1"/>
  <c r="B801" s="1"/>
  <c r="B968" s="1"/>
  <c r="B1135"/>
  <c r="B298"/>
  <c r="B465"/>
  <c r="B632" s="1"/>
  <c r="B799" s="1"/>
  <c r="B966" s="1"/>
  <c r="B1133" s="1"/>
  <c r="B296"/>
  <c r="B463" s="1"/>
  <c r="B630" s="1"/>
  <c r="B797" s="1"/>
  <c r="B964" s="1"/>
  <c r="B1131" s="1"/>
  <c r="B462"/>
  <c r="B629" s="1"/>
  <c r="B796" s="1"/>
  <c r="B963" s="1"/>
  <c r="B1130" s="1"/>
  <c r="B962"/>
  <c r="B1129"/>
  <c r="B458"/>
  <c r="B625"/>
  <c r="B792" s="1"/>
  <c r="B959" s="1"/>
  <c r="B1126" s="1"/>
  <c r="B290"/>
  <c r="B457" s="1"/>
  <c r="B624"/>
  <c r="B791"/>
  <c r="B958" s="1"/>
  <c r="B1125" s="1"/>
  <c r="B288"/>
  <c r="B455" s="1"/>
  <c r="B622"/>
  <c r="B789" s="1"/>
  <c r="B956" s="1"/>
  <c r="B1123" s="1"/>
  <c r="B286"/>
  <c r="B453"/>
  <c r="B620" s="1"/>
  <c r="B787" s="1"/>
  <c r="B954" s="1"/>
  <c r="B1121" s="1"/>
  <c r="B284"/>
  <c r="B451"/>
  <c r="B618" s="1"/>
  <c r="B785" s="1"/>
  <c r="B952" s="1"/>
  <c r="B1119" s="1"/>
  <c r="B282"/>
  <c r="B449"/>
  <c r="B616" s="1"/>
  <c r="B783"/>
  <c r="B950" s="1"/>
  <c r="B1117" s="1"/>
  <c r="B280"/>
  <c r="B447" s="1"/>
  <c r="B614" s="1"/>
  <c r="B781" s="1"/>
  <c r="B948" s="1"/>
  <c r="B1115"/>
  <c r="B613"/>
  <c r="B780" s="1"/>
  <c r="B947" s="1"/>
  <c r="B1114" s="1"/>
  <c r="B278"/>
  <c r="B445" s="1"/>
  <c r="B612"/>
  <c r="B779" s="1"/>
  <c r="B946" s="1"/>
  <c r="B1113" s="1"/>
  <c r="B276"/>
  <c r="B443" s="1"/>
  <c r="B610" s="1"/>
  <c r="B777" s="1"/>
  <c r="B944" s="1"/>
  <c r="B1111" s="1"/>
  <c r="B274"/>
  <c r="B441" s="1"/>
  <c r="B608" s="1"/>
  <c r="B775" s="1"/>
  <c r="B942" s="1"/>
  <c r="B1109" s="1"/>
  <c r="B606"/>
  <c r="B773"/>
  <c r="B940" s="1"/>
  <c r="B1107" s="1"/>
  <c r="B270"/>
  <c r="B437" s="1"/>
  <c r="B604" s="1"/>
  <c r="B771" s="1"/>
  <c r="B938" s="1"/>
  <c r="B1105" s="1"/>
  <c r="B436"/>
  <c r="B603" s="1"/>
  <c r="B770"/>
  <c r="B937" s="1"/>
  <c r="B1104" s="1"/>
  <c r="B266"/>
  <c r="B433"/>
  <c r="B600" s="1"/>
  <c r="B767"/>
  <c r="B934"/>
  <c r="B1101" s="1"/>
  <c r="B932"/>
  <c r="B1099" s="1"/>
  <c r="B430"/>
  <c r="B597" s="1"/>
  <c r="B764" s="1"/>
  <c r="B931" s="1"/>
  <c r="B1098" s="1"/>
  <c r="B262"/>
  <c r="B429"/>
  <c r="B596" s="1"/>
  <c r="B763"/>
  <c r="B930" s="1"/>
  <c r="B1097"/>
  <c r="B260"/>
  <c r="B427" s="1"/>
  <c r="B594" s="1"/>
  <c r="B761" s="1"/>
  <c r="B928" s="1"/>
  <c r="B1095" s="1"/>
  <c r="B593"/>
  <c r="B760" s="1"/>
  <c r="B927" s="1"/>
  <c r="B1094" s="1"/>
  <c r="B258"/>
  <c r="B425" s="1"/>
  <c r="B592"/>
  <c r="B759" s="1"/>
  <c r="B926" s="1"/>
  <c r="B1093" s="1"/>
  <c r="B422"/>
  <c r="B589"/>
  <c r="B756" s="1"/>
  <c r="B923" s="1"/>
  <c r="B1090" s="1"/>
  <c r="B421"/>
  <c r="B588" s="1"/>
  <c r="B755" s="1"/>
  <c r="B922" s="1"/>
  <c r="B1089" s="1"/>
  <c r="B419"/>
  <c r="B586" s="1"/>
  <c r="B753"/>
  <c r="B920" s="1"/>
  <c r="B1087"/>
  <c r="B749"/>
  <c r="B916" s="1"/>
  <c r="B1083" s="1"/>
  <c r="B246"/>
  <c r="B413" s="1"/>
  <c r="B580" s="1"/>
  <c r="B747" s="1"/>
  <c r="B914" s="1"/>
  <c r="B1081" s="1"/>
  <c r="B244"/>
  <c r="B411"/>
  <c r="B578" s="1"/>
  <c r="B745" s="1"/>
  <c r="B912" s="1"/>
  <c r="B1079" s="1"/>
  <c r="B242"/>
  <c r="B409" s="1"/>
  <c r="B576"/>
  <c r="B743" s="1"/>
  <c r="B910" s="1"/>
  <c r="B1077" s="1"/>
  <c r="B240"/>
  <c r="B407" s="1"/>
  <c r="B574"/>
  <c r="B741" s="1"/>
  <c r="B908" s="1"/>
  <c r="B1075" s="1"/>
  <c r="B238"/>
  <c r="B405" s="1"/>
  <c r="B572"/>
  <c r="B739" s="1"/>
  <c r="B906" s="1"/>
  <c r="B1073" s="1"/>
  <c r="B404"/>
  <c r="B571"/>
  <c r="B738"/>
  <c r="B905" s="1"/>
  <c r="B1072" s="1"/>
  <c r="B236"/>
  <c r="B403"/>
  <c r="B570" s="1"/>
  <c r="B737"/>
  <c r="B904" s="1"/>
  <c r="B1071" s="1"/>
  <c r="B234"/>
  <c r="B401"/>
  <c r="B568" s="1"/>
  <c r="B735" s="1"/>
  <c r="B902" s="1"/>
  <c r="B1069" s="1"/>
  <c r="B400"/>
  <c r="B567"/>
  <c r="B734" s="1"/>
  <c r="B901" s="1"/>
  <c r="B1068" s="1"/>
  <c r="B232"/>
  <c r="B399" s="1"/>
  <c r="B566"/>
  <c r="B733"/>
  <c r="B900" s="1"/>
  <c r="B1067" s="1"/>
  <c r="B398"/>
  <c r="B565" s="1"/>
  <c r="B732" s="1"/>
  <c r="B899" s="1"/>
  <c r="B1066" s="1"/>
  <c r="B230"/>
  <c r="B397"/>
  <c r="B564" s="1"/>
  <c r="B731"/>
  <c r="B898" s="1"/>
  <c r="B1065"/>
  <c r="B1063"/>
  <c r="B394"/>
  <c r="B561" s="1"/>
  <c r="B728" s="1"/>
  <c r="B895" s="1"/>
  <c r="B1062" s="1"/>
  <c r="B226"/>
  <c r="B393"/>
  <c r="B560" s="1"/>
  <c r="B727" s="1"/>
  <c r="B894" s="1"/>
  <c r="B1061" s="1"/>
  <c r="B224"/>
  <c r="B391"/>
  <c r="B558" s="1"/>
  <c r="B725"/>
  <c r="B892" s="1"/>
  <c r="B1059" s="1"/>
  <c r="B222"/>
  <c r="B389"/>
  <c r="B556" s="1"/>
  <c r="B723" s="1"/>
  <c r="B890" s="1"/>
  <c r="B1057" s="1"/>
  <c r="B218"/>
  <c r="B385" s="1"/>
  <c r="B552"/>
  <c r="B719" s="1"/>
  <c r="B886" s="1"/>
  <c r="B1053" s="1"/>
  <c r="B216"/>
  <c r="B383" s="1"/>
  <c r="B550"/>
  <c r="B717" s="1"/>
  <c r="B884" s="1"/>
  <c r="B1051" s="1"/>
  <c r="B382"/>
  <c r="B549"/>
  <c r="B716"/>
  <c r="B883" s="1"/>
  <c r="B1050" s="1"/>
  <c r="B381"/>
  <c r="B548" s="1"/>
  <c r="B715" s="1"/>
  <c r="B882" s="1"/>
  <c r="B1049" s="1"/>
  <c r="B379"/>
  <c r="B546" s="1"/>
  <c r="B713"/>
  <c r="B880" s="1"/>
  <c r="B1047" s="1"/>
  <c r="B210"/>
  <c r="B377"/>
  <c r="B544" s="1"/>
  <c r="B711" s="1"/>
  <c r="B878" s="1"/>
  <c r="B1045" s="1"/>
  <c r="B375"/>
  <c r="B542"/>
  <c r="B709"/>
  <c r="B876" s="1"/>
  <c r="B1043" s="1"/>
  <c r="B206"/>
  <c r="B373" s="1"/>
  <c r="B540" s="1"/>
  <c r="B707" s="1"/>
  <c r="B874" s="1"/>
  <c r="B1041" s="1"/>
  <c r="B539"/>
  <c r="B706" s="1"/>
  <c r="B873" s="1"/>
  <c r="B1040" s="1"/>
  <c r="B204"/>
  <c r="B371" s="1"/>
  <c r="B538" s="1"/>
  <c r="B705" s="1"/>
  <c r="B872" s="1"/>
  <c r="B1039" s="1"/>
  <c r="B202"/>
  <c r="B369" s="1"/>
  <c r="B536"/>
  <c r="B703" s="1"/>
  <c r="B870" s="1"/>
  <c r="B1037" s="1"/>
  <c r="B200"/>
  <c r="B367"/>
  <c r="B534" s="1"/>
  <c r="B701" s="1"/>
  <c r="B868" s="1"/>
  <c r="B1035" s="1"/>
  <c r="B198"/>
  <c r="B365"/>
  <c r="B532"/>
  <c r="B699"/>
  <c r="B866" s="1"/>
  <c r="B1033" s="1"/>
  <c r="B697"/>
  <c r="B864"/>
  <c r="B1031" s="1"/>
  <c r="B360"/>
  <c r="B527" s="1"/>
  <c r="B694"/>
  <c r="B861"/>
  <c r="B1028" s="1"/>
  <c r="B359"/>
  <c r="B526" s="1"/>
  <c r="B693" s="1"/>
  <c r="B860" s="1"/>
  <c r="B1027" s="1"/>
  <c r="B190"/>
  <c r="B357"/>
  <c r="B524" s="1"/>
  <c r="B691"/>
  <c r="B858" s="1"/>
  <c r="B1025" s="1"/>
  <c r="B35" i="31"/>
  <c r="B51"/>
  <c r="B69"/>
  <c r="B87" s="1"/>
  <c r="B105" s="1"/>
  <c r="B123" s="1"/>
  <c r="B34"/>
  <c r="B33"/>
  <c r="B32"/>
  <c r="B31"/>
  <c r="B47"/>
  <c r="B65" s="1"/>
  <c r="B83" s="1"/>
  <c r="B101" s="1"/>
  <c r="B119" s="1"/>
  <c r="B30"/>
  <c r="B29"/>
  <c r="B28"/>
  <c r="B27"/>
  <c r="B43" s="1"/>
  <c r="B26"/>
  <c r="B25"/>
  <c r="B41" s="1"/>
  <c r="B24"/>
  <c r="B40" s="1"/>
  <c r="B58"/>
  <c r="B76"/>
  <c r="B94" s="1"/>
  <c r="B112" s="1"/>
  <c r="B23"/>
  <c r="B39" s="1"/>
  <c r="B57" s="1"/>
  <c r="B75" s="1"/>
  <c r="B93" s="1"/>
  <c r="B111" s="1"/>
  <c r="B22"/>
  <c r="B38" s="1"/>
  <c r="B56" s="1"/>
  <c r="B74" s="1"/>
  <c r="B92"/>
  <c r="B110" s="1"/>
  <c r="B50"/>
  <c r="B68" s="1"/>
  <c r="B86" s="1"/>
  <c r="B104" s="1"/>
  <c r="B122" s="1"/>
  <c r="B49"/>
  <c r="B67" s="1"/>
  <c r="B85" s="1"/>
  <c r="B103" s="1"/>
  <c r="B121" s="1"/>
  <c r="B48"/>
  <c r="B66" s="1"/>
  <c r="B84" s="1"/>
  <c r="B102" s="1"/>
  <c r="B120" s="1"/>
  <c r="B46"/>
  <c r="B64"/>
  <c r="B82" s="1"/>
  <c r="B100" s="1"/>
  <c r="B118" s="1"/>
  <c r="B45"/>
  <c r="B63"/>
  <c r="B81" s="1"/>
  <c r="B99" s="1"/>
  <c r="B117" s="1"/>
  <c r="B44"/>
  <c r="B62" s="1"/>
  <c r="B80" s="1"/>
  <c r="B98" s="1"/>
  <c r="B116" s="1"/>
  <c r="B61"/>
  <c r="B79" s="1"/>
  <c r="B97"/>
  <c r="B115" s="1"/>
  <c r="B42"/>
  <c r="B60" s="1"/>
  <c r="B78"/>
  <c r="B96"/>
  <c r="B114" s="1"/>
  <c r="B59"/>
  <c r="B77"/>
  <c r="B95"/>
  <c r="B113" s="1"/>
  <c r="B22" i="29"/>
  <c r="B44" s="1"/>
  <c r="H113"/>
  <c r="G113"/>
  <c r="F113"/>
  <c r="E113"/>
  <c r="D113"/>
  <c r="D16"/>
  <c r="B21" i="27"/>
  <c r="B207"/>
  <c r="B393" s="1"/>
  <c r="B579" s="1"/>
  <c r="B765" s="1"/>
  <c r="B951" s="1"/>
  <c r="B1137" s="1"/>
  <c r="H948"/>
  <c r="H12"/>
  <c r="G948"/>
  <c r="G12" s="1"/>
  <c r="F948"/>
  <c r="F12" s="1"/>
  <c r="E948"/>
  <c r="E12" s="1"/>
  <c r="D948"/>
  <c r="F762"/>
  <c r="F11"/>
  <c r="D576"/>
  <c r="D10" s="1"/>
  <c r="D390"/>
  <c r="D9" s="1"/>
  <c r="D12"/>
  <c r="B22" i="9"/>
  <c r="B207" s="1"/>
  <c r="B393"/>
  <c r="B579"/>
  <c r="B765"/>
  <c r="B951" s="1"/>
  <c r="B1137" s="1"/>
  <c r="A2" i="1"/>
  <c r="E54" i="23"/>
  <c r="F54"/>
  <c r="F55"/>
  <c r="E7"/>
  <c r="B140" i="3"/>
  <c r="B21"/>
  <c r="B43"/>
  <c r="B67"/>
  <c r="B91" s="1"/>
  <c r="B115" s="1"/>
  <c r="B139" s="1"/>
  <c r="B123" i="29"/>
  <c r="B147"/>
  <c r="B61" i="33"/>
  <c r="B102"/>
  <c r="B120" s="1"/>
  <c r="D16"/>
  <c r="E86" i="42"/>
  <c r="E90" s="1"/>
  <c r="F46" i="36"/>
  <c r="H72" i="35"/>
  <c r="H61"/>
  <c r="B146" i="29"/>
  <c r="B74"/>
  <c r="D41" i="39"/>
  <c r="F41"/>
  <c r="F84" s="1"/>
  <c r="G41"/>
  <c r="G33"/>
  <c r="B68"/>
  <c r="B111"/>
  <c r="B154"/>
  <c r="B99" i="33"/>
  <c r="B117"/>
  <c r="F576" i="27"/>
  <c r="F10" s="1"/>
  <c r="D53" i="39"/>
  <c r="D96"/>
  <c r="D48"/>
  <c r="D45"/>
  <c r="D40"/>
  <c r="D21"/>
  <c r="E72" i="35"/>
  <c r="E61"/>
  <c r="B83" i="29"/>
  <c r="B95" i="33"/>
  <c r="B113" s="1"/>
  <c r="B59"/>
  <c r="G104" i="41"/>
  <c r="D685" i="34"/>
  <c r="D11"/>
  <c r="F685"/>
  <c r="F11" s="1"/>
  <c r="B82" i="29"/>
  <c r="F61" i="35"/>
  <c r="F72"/>
  <c r="B98" i="39"/>
  <c r="B141" s="1"/>
  <c r="B184" s="1"/>
  <c r="D95"/>
  <c r="D90"/>
  <c r="E69" i="35"/>
  <c r="E58"/>
  <c r="F56" i="23"/>
  <c r="B65" i="33"/>
  <c r="D73" i="38"/>
  <c r="G8" i="41"/>
  <c r="H8" i="20"/>
  <c r="H8" i="41" s="1"/>
  <c r="G33" i="20"/>
  <c r="E762" i="27"/>
  <c r="E11" s="1"/>
  <c r="F22" i="20"/>
  <c r="F22" i="41"/>
  <c r="E56" i="23"/>
  <c r="F518" i="34"/>
  <c r="F10"/>
  <c r="E518"/>
  <c r="E10"/>
  <c r="I58" i="35"/>
  <c r="I69"/>
  <c r="D59" i="39"/>
  <c r="G51"/>
  <c r="E35"/>
  <c r="G27"/>
  <c r="D27"/>
  <c r="H27"/>
  <c r="H69" i="35"/>
  <c r="H58"/>
  <c r="G69"/>
  <c r="G58"/>
  <c r="F53" i="39"/>
  <c r="F37"/>
  <c r="F80" s="1"/>
  <c r="E22" i="41"/>
  <c r="E22" i="20"/>
  <c r="G20" i="39"/>
  <c r="E63" i="41"/>
  <c r="G55" i="39"/>
  <c r="B82"/>
  <c r="B125" s="1"/>
  <c r="B168" s="1"/>
  <c r="B117"/>
  <c r="B160"/>
  <c r="F86" i="42"/>
  <c r="F90" s="1"/>
  <c r="H28"/>
  <c r="F33" i="41"/>
  <c r="L27" i="6"/>
  <c r="L29" s="1"/>
  <c r="F28" i="44"/>
  <c r="K48" i="40"/>
  <c r="L48" s="1"/>
  <c r="M48" s="1"/>
  <c r="F63" i="41"/>
  <c r="G24" i="39"/>
  <c r="G38"/>
  <c r="D58"/>
  <c r="E26"/>
  <c r="E69" s="1"/>
  <c r="E52" i="44"/>
  <c r="E54" i="42"/>
  <c r="E58" s="1"/>
  <c r="H44" i="39"/>
  <c r="H39"/>
  <c r="H20"/>
  <c r="H50"/>
  <c r="H48"/>
  <c r="H45"/>
  <c r="H40"/>
  <c r="H55"/>
  <c r="H26"/>
  <c r="H41"/>
  <c r="H60"/>
  <c r="I6" i="4"/>
  <c r="H11" i="42"/>
  <c r="H11" i="44"/>
  <c r="G28"/>
  <c r="H49" i="39"/>
  <c r="G22" i="41"/>
  <c r="G63"/>
  <c r="G22" i="20"/>
  <c r="H56"/>
  <c r="I8"/>
  <c r="I28" i="42"/>
  <c r="H38" i="39"/>
  <c r="H59"/>
  <c r="H37"/>
  <c r="F69" i="35"/>
  <c r="F58"/>
  <c r="H25" i="39"/>
  <c r="F97"/>
  <c r="F96"/>
  <c r="H51"/>
  <c r="H57"/>
  <c r="H47" i="36"/>
  <c r="F7" i="23"/>
  <c r="G59" i="4"/>
  <c r="I56" i="39"/>
  <c r="I46"/>
  <c r="I58"/>
  <c r="I45"/>
  <c r="I40"/>
  <c r="I47"/>
  <c r="I44"/>
  <c r="I36"/>
  <c r="I33"/>
  <c r="I59"/>
  <c r="I39"/>
  <c r="I27"/>
  <c r="H33" i="41"/>
  <c r="H22" i="20"/>
  <c r="H63" i="41"/>
  <c r="H22"/>
  <c r="E56" i="44"/>
  <c r="E98" i="38"/>
  <c r="H59" i="4"/>
  <c r="H70"/>
  <c r="I47" i="36"/>
  <c r="F87" i="38"/>
  <c r="F66"/>
  <c r="F109" s="1"/>
  <c r="F152" s="1"/>
  <c r="I22" i="41"/>
  <c r="I22" i="20"/>
  <c r="I63" i="41"/>
  <c r="H1147" i="34"/>
  <c r="I59" i="4"/>
  <c r="I70"/>
  <c r="F7" i="42" l="1"/>
  <c r="F12" s="1"/>
  <c r="I11" i="35"/>
  <c r="H11"/>
  <c r="F7" i="44"/>
  <c r="F12" s="1"/>
  <c r="H6" i="9"/>
  <c r="H11" i="4"/>
  <c r="G11" i="43"/>
  <c r="H6" i="34"/>
  <c r="H6" i="31"/>
  <c r="I11" i="43"/>
  <c r="I7" i="35"/>
  <c r="I11" i="42"/>
  <c r="I7" i="43"/>
  <c r="I11" i="44"/>
  <c r="H6" i="33"/>
  <c r="I6" i="44"/>
  <c r="I7" i="42"/>
  <c r="G12" i="35"/>
  <c r="H6" i="27"/>
  <c r="I6" i="43"/>
  <c r="H9" i="35"/>
  <c r="F11"/>
  <c r="I6"/>
  <c r="G7" i="42"/>
  <c r="G12" s="1"/>
  <c r="H6" i="3"/>
  <c r="G11" i="4"/>
  <c r="F11"/>
  <c r="H12"/>
  <c r="H7" i="23" s="1"/>
  <c r="G11" i="42"/>
  <c r="F11"/>
  <c r="G9"/>
  <c r="H8"/>
  <c r="H7" i="43"/>
  <c r="H7" i="35"/>
  <c r="G8" i="4"/>
  <c r="G12" i="44"/>
  <c r="G7" i="36"/>
  <c r="F11" i="43"/>
  <c r="H8" i="44"/>
  <c r="H7"/>
  <c r="F7" i="36"/>
  <c r="G11" i="44"/>
  <c r="G9"/>
  <c r="H7" i="42"/>
  <c r="H9" i="4"/>
  <c r="F972" i="34"/>
  <c r="F1139"/>
  <c r="G304" s="1"/>
  <c r="E118" i="38"/>
  <c r="E161" s="1"/>
  <c r="G33" i="41"/>
  <c r="B76" i="29"/>
  <c r="B124"/>
  <c r="B148" s="1"/>
  <c r="E27" i="39"/>
  <c r="E70" s="1"/>
  <c r="E113" s="1"/>
  <c r="E156" s="1"/>
  <c r="E20"/>
  <c r="E63" s="1"/>
  <c r="E106" s="1"/>
  <c r="E149" s="1"/>
  <c r="E55"/>
  <c r="E53"/>
  <c r="E50"/>
  <c r="E93" s="1"/>
  <c r="E21"/>
  <c r="E64" s="1"/>
  <c r="E57"/>
  <c r="E25"/>
  <c r="E68" s="1"/>
  <c r="E111" s="1"/>
  <c r="E154" s="1"/>
  <c r="E28"/>
  <c r="E37"/>
  <c r="E80" s="1"/>
  <c r="F123" s="1"/>
  <c r="F166" s="1"/>
  <c r="E17"/>
  <c r="E24"/>
  <c r="E39"/>
  <c r="E82" s="1"/>
  <c r="E51"/>
  <c r="E94" s="1"/>
  <c r="E30"/>
  <c r="E44"/>
  <c r="E33"/>
  <c r="E76" s="1"/>
  <c r="E119" s="1"/>
  <c r="E162" s="1"/>
  <c r="E58"/>
  <c r="E101" s="1"/>
  <c r="E144" s="1"/>
  <c r="E187" s="1"/>
  <c r="E40"/>
  <c r="E32"/>
  <c r="E75" s="1"/>
  <c r="E54"/>
  <c r="E97" s="1"/>
  <c r="E48"/>
  <c r="E91" s="1"/>
  <c r="E134" s="1"/>
  <c r="E177" s="1"/>
  <c r="E38"/>
  <c r="E34"/>
  <c r="E77" s="1"/>
  <c r="E29"/>
  <c r="E72" s="1"/>
  <c r="E46"/>
  <c r="E89" s="1"/>
  <c r="E132" s="1"/>
  <c r="E175" s="1"/>
  <c r="E41"/>
  <c r="G57" i="20"/>
  <c r="H57"/>
  <c r="B132" i="29"/>
  <c r="B156" s="1"/>
  <c r="B84"/>
  <c r="E112" i="39"/>
  <c r="E155" s="1"/>
  <c r="I56" i="20"/>
  <c r="I57" s="1"/>
  <c r="I8" i="41"/>
  <c r="I33" i="20"/>
  <c r="B128" i="29"/>
  <c r="B152" s="1"/>
  <c r="F96" i="38"/>
  <c r="G43" i="39"/>
  <c r="I43"/>
  <c r="F43"/>
  <c r="E43"/>
  <c r="B86"/>
  <c r="B129" s="1"/>
  <c r="B172" s="1"/>
  <c r="D43"/>
  <c r="H43"/>
  <c r="E36"/>
  <c r="E79" s="1"/>
  <c r="E122" s="1"/>
  <c r="E165" s="1"/>
  <c r="H36"/>
  <c r="B79"/>
  <c r="B122" s="1"/>
  <c r="B165" s="1"/>
  <c r="F36"/>
  <c r="G36"/>
  <c r="D36"/>
  <c r="D23"/>
  <c r="E23"/>
  <c r="B66"/>
  <c r="B109" s="1"/>
  <c r="B152" s="1"/>
  <c r="H23"/>
  <c r="F23"/>
  <c r="I23"/>
  <c r="G23"/>
  <c r="F78" i="38"/>
  <c r="F75"/>
  <c r="F118" s="1"/>
  <c r="F161" s="1"/>
  <c r="F67"/>
  <c r="F71"/>
  <c r="F69"/>
  <c r="F94"/>
  <c r="F64"/>
  <c r="F107" s="1"/>
  <c r="F150" s="1"/>
  <c r="F95"/>
  <c r="F97"/>
  <c r="F101"/>
  <c r="F144" s="1"/>
  <c r="F187" s="1"/>
  <c r="F86"/>
  <c r="F129" s="1"/>
  <c r="F172" s="1"/>
  <c r="F83"/>
  <c r="F85"/>
  <c r="F74"/>
  <c r="F70"/>
  <c r="F113" s="1"/>
  <c r="F156" s="1"/>
  <c r="F102"/>
  <c r="F76"/>
  <c r="F119" s="1"/>
  <c r="F162" s="1"/>
  <c r="F99"/>
  <c r="F142" s="1"/>
  <c r="F185" s="1"/>
  <c r="F88"/>
  <c r="F131" s="1"/>
  <c r="F174" s="1"/>
  <c r="F92"/>
  <c r="F93"/>
  <c r="F82"/>
  <c r="F125" s="1"/>
  <c r="F168" s="1"/>
  <c r="F81"/>
  <c r="F124" s="1"/>
  <c r="F167" s="1"/>
  <c r="F90"/>
  <c r="F98"/>
  <c r="F141" s="1"/>
  <c r="F184" s="1"/>
  <c r="F65"/>
  <c r="F77"/>
  <c r="F103"/>
  <c r="F100"/>
  <c r="F68"/>
  <c r="F84"/>
  <c r="B139"/>
  <c r="B182" s="1"/>
  <c r="E96"/>
  <c r="E139" s="1"/>
  <c r="E182" s="1"/>
  <c r="H152" i="34"/>
  <c r="B133" i="29"/>
  <c r="B157" s="1"/>
  <c r="B85"/>
  <c r="H56" i="41"/>
  <c r="H57" s="1"/>
  <c r="B85" i="39"/>
  <c r="B128" s="1"/>
  <c r="B171" s="1"/>
  <c r="F42"/>
  <c r="I42"/>
  <c r="H42"/>
  <c r="G42"/>
  <c r="B78"/>
  <c r="B121" s="1"/>
  <c r="B164" s="1"/>
  <c r="H35"/>
  <c r="G35"/>
  <c r="D35"/>
  <c r="D78" s="1"/>
  <c r="I35"/>
  <c r="F35"/>
  <c r="F78" s="1"/>
  <c r="F22"/>
  <c r="F65" s="1"/>
  <c r="H22"/>
  <c r="B65"/>
  <c r="B108" s="1"/>
  <c r="B151" s="1"/>
  <c r="I22"/>
  <c r="E22"/>
  <c r="E65" s="1"/>
  <c r="E108" s="1"/>
  <c r="E151" s="1"/>
  <c r="G22"/>
  <c r="D22"/>
  <c r="F89" i="38"/>
  <c r="E56" i="41"/>
  <c r="D65" i="39"/>
  <c r="B68" i="29"/>
  <c r="B116"/>
  <c r="B140" s="1"/>
  <c r="B104" i="33"/>
  <c r="B122" s="1"/>
  <c r="B68"/>
  <c r="D69" i="38"/>
  <c r="B87" i="29"/>
  <c r="B135"/>
  <c r="B159" s="1"/>
  <c r="B78"/>
  <c r="B126"/>
  <c r="B150" s="1"/>
  <c r="H518" i="34"/>
  <c r="H10" s="1"/>
  <c r="D49" i="39"/>
  <c r="D92" s="1"/>
  <c r="I49"/>
  <c r="B92"/>
  <c r="B135" s="1"/>
  <c r="B178" s="1"/>
  <c r="E49"/>
  <c r="F49"/>
  <c r="G49"/>
  <c r="E92" i="38"/>
  <c r="E135" s="1"/>
  <c r="E178" s="1"/>
  <c r="E70"/>
  <c r="E69"/>
  <c r="E94"/>
  <c r="E100"/>
  <c r="E143" s="1"/>
  <c r="E186" s="1"/>
  <c r="E80"/>
  <c r="E85"/>
  <c r="E74"/>
  <c r="E87"/>
  <c r="E130" s="1"/>
  <c r="E173" s="1"/>
  <c r="E79"/>
  <c r="E81"/>
  <c r="E124" s="1"/>
  <c r="E167" s="1"/>
  <c r="E95"/>
  <c r="E138" s="1"/>
  <c r="E181" s="1"/>
  <c r="E67"/>
  <c r="E110" s="1"/>
  <c r="E153" s="1"/>
  <c r="E101"/>
  <c r="E76"/>
  <c r="E102"/>
  <c r="E63"/>
  <c r="E82"/>
  <c r="E68"/>
  <c r="E111" s="1"/>
  <c r="E154" s="1"/>
  <c r="E97"/>
  <c r="E77"/>
  <c r="E120" s="1"/>
  <c r="E163" s="1"/>
  <c r="E83"/>
  <c r="E93"/>
  <c r="F91"/>
  <c r="F134" s="1"/>
  <c r="F177" s="1"/>
  <c r="D83"/>
  <c r="D94"/>
  <c r="D90"/>
  <c r="D86"/>
  <c r="D74"/>
  <c r="D66"/>
  <c r="E109" s="1"/>
  <c r="E152" s="1"/>
  <c r="D64"/>
  <c r="D69" i="39"/>
  <c r="D68"/>
  <c r="D70"/>
  <c r="D101"/>
  <c r="H49" i="34"/>
  <c r="H51" i="32"/>
  <c r="H32" i="30"/>
  <c r="E78" i="38"/>
  <c r="E121" s="1"/>
  <c r="E164" s="1"/>
  <c r="F140" i="39"/>
  <c r="F183" s="1"/>
  <c r="D64"/>
  <c r="F127"/>
  <c r="F170" s="1"/>
  <c r="E65" i="38"/>
  <c r="E108" s="1"/>
  <c r="E151" s="1"/>
  <c r="F73"/>
  <c r="G56" i="39"/>
  <c r="E56"/>
  <c r="E99" s="1"/>
  <c r="B99"/>
  <c r="B142" s="1"/>
  <c r="B185" s="1"/>
  <c r="F56"/>
  <c r="D56"/>
  <c r="H67" i="32"/>
  <c r="B103" i="33"/>
  <c r="B121" s="1"/>
  <c r="B67"/>
  <c r="F79" i="38"/>
  <c r="F122" s="1"/>
  <c r="F165" s="1"/>
  <c r="E99"/>
  <c r="F63"/>
  <c r="F72"/>
  <c r="F80"/>
  <c r="F123" s="1"/>
  <c r="F166" s="1"/>
  <c r="D98"/>
  <c r="E141" s="1"/>
  <c r="E184" s="1"/>
  <c r="E33" i="44"/>
  <c r="E34" s="1"/>
  <c r="F29" s="1"/>
  <c r="E134" i="38"/>
  <c r="E177" s="1"/>
  <c r="E64"/>
  <c r="E107" s="1"/>
  <c r="E150" s="1"/>
  <c r="E90"/>
  <c r="E133" s="1"/>
  <c r="E176" s="1"/>
  <c r="E84"/>
  <c r="E127" s="1"/>
  <c r="E170" s="1"/>
  <c r="D100"/>
  <c r="E4" i="46"/>
  <c r="O186" i="26" s="1"/>
  <c r="K24" i="40"/>
  <c r="L24" s="1"/>
  <c r="M24" s="1"/>
  <c r="E32"/>
  <c r="K32" s="1"/>
  <c r="L32" s="1"/>
  <c r="M32" s="1"/>
  <c r="E90" i="39"/>
  <c r="E133" s="1"/>
  <c r="E176" s="1"/>
  <c r="E81"/>
  <c r="E84"/>
  <c r="E98"/>
  <c r="E87"/>
  <c r="E39" i="42"/>
  <c r="H17"/>
  <c r="G165" i="32"/>
  <c r="G163" i="34"/>
  <c r="H146" i="30"/>
  <c r="G1093" i="34"/>
  <c r="H258" s="1"/>
  <c r="H184" i="32"/>
  <c r="I53" i="39"/>
  <c r="D67"/>
  <c r="E78"/>
  <c r="D93"/>
  <c r="B58" i="33"/>
  <c r="D76" i="38"/>
  <c r="D102"/>
  <c r="F57" i="20"/>
  <c r="B73" i="29"/>
  <c r="F56" i="41"/>
  <c r="F57" s="1"/>
  <c r="B76" i="39"/>
  <c r="B119" s="1"/>
  <c r="B162" s="1"/>
  <c r="H33"/>
  <c r="E73"/>
  <c r="D79"/>
  <c r="D86"/>
  <c r="D102"/>
  <c r="D74"/>
  <c r="D63"/>
  <c r="D84"/>
  <c r="D83"/>
  <c r="D88"/>
  <c r="E88" i="38"/>
  <c r="E89"/>
  <c r="E132" s="1"/>
  <c r="E175" s="1"/>
  <c r="E86"/>
  <c r="E129" s="1"/>
  <c r="E172" s="1"/>
  <c r="E103"/>
  <c r="E72"/>
  <c r="E115" s="1"/>
  <c r="E158" s="1"/>
  <c r="E73"/>
  <c r="E116" s="1"/>
  <c r="E159" s="1"/>
  <c r="G28" i="39"/>
  <c r="I28"/>
  <c r="F28"/>
  <c r="B71"/>
  <c r="B114" s="1"/>
  <c r="B157" s="1"/>
  <c r="H102" i="34"/>
  <c r="H104" i="32"/>
  <c r="H97" i="34"/>
  <c r="H99" i="32"/>
  <c r="H143"/>
  <c r="F50" i="39"/>
  <c r="F93" s="1"/>
  <c r="F136" s="1"/>
  <c r="F179" s="1"/>
  <c r="F40"/>
  <c r="F83" s="1"/>
  <c r="F126" s="1"/>
  <c r="F169" s="1"/>
  <c r="F27"/>
  <c r="F70" s="1"/>
  <c r="F113" s="1"/>
  <c r="F156" s="1"/>
  <c r="F20"/>
  <c r="F63" s="1"/>
  <c r="F25"/>
  <c r="F68" s="1"/>
  <c r="F39"/>
  <c r="F82" s="1"/>
  <c r="F125" s="1"/>
  <c r="F168" s="1"/>
  <c r="F29"/>
  <c r="F72" s="1"/>
  <c r="F30"/>
  <c r="F73" s="1"/>
  <c r="F31"/>
  <c r="F74" s="1"/>
  <c r="F117" s="1"/>
  <c r="F160" s="1"/>
  <c r="F32"/>
  <c r="F75" s="1"/>
  <c r="F118" s="1"/>
  <c r="F161" s="1"/>
  <c r="F38"/>
  <c r="F81" s="1"/>
  <c r="F124" s="1"/>
  <c r="F167" s="1"/>
  <c r="H28" i="44"/>
  <c r="I57" i="39"/>
  <c r="I37"/>
  <c r="E83"/>
  <c r="F26"/>
  <c r="F69" s="1"/>
  <c r="F112" s="1"/>
  <c r="F155" s="1"/>
  <c r="F51"/>
  <c r="F94" s="1"/>
  <c r="F137" s="1"/>
  <c r="F180" s="1"/>
  <c r="D91"/>
  <c r="D63" i="38"/>
  <c r="D70"/>
  <c r="D89"/>
  <c r="F17" i="39"/>
  <c r="B70" i="29"/>
  <c r="B118"/>
  <c r="B142" s="1"/>
  <c r="B102" i="39"/>
  <c r="B145" s="1"/>
  <c r="B188" s="1"/>
  <c r="E59"/>
  <c r="E102" s="1"/>
  <c r="E145" s="1"/>
  <c r="E188" s="1"/>
  <c r="F59"/>
  <c r="F102" s="1"/>
  <c r="H52"/>
  <c r="I52"/>
  <c r="G52"/>
  <c r="E52"/>
  <c r="E95" s="1"/>
  <c r="F76"/>
  <c r="F100"/>
  <c r="F89"/>
  <c r="D54"/>
  <c r="D97" s="1"/>
  <c r="D26"/>
  <c r="D20"/>
  <c r="D50"/>
  <c r="D25"/>
  <c r="D55"/>
  <c r="D98" s="1"/>
  <c r="D39"/>
  <c r="D82" s="1"/>
  <c r="E71"/>
  <c r="G12" i="43"/>
  <c r="H34" i="39"/>
  <c r="H21"/>
  <c r="H53"/>
  <c r="H29"/>
  <c r="H30"/>
  <c r="H31"/>
  <c r="H32"/>
  <c r="H46"/>
  <c r="H54"/>
  <c r="H163" i="32"/>
  <c r="D96" i="38"/>
  <c r="D91"/>
  <c r="D72"/>
  <c r="D92"/>
  <c r="D84"/>
  <c r="D93"/>
  <c r="D85"/>
  <c r="D80"/>
  <c r="D68"/>
  <c r="D71"/>
  <c r="D99"/>
  <c r="D87"/>
  <c r="D82"/>
  <c r="D77"/>
  <c r="D97"/>
  <c r="E60" i="39"/>
  <c r="G60"/>
  <c r="F60"/>
  <c r="B103"/>
  <c r="B146" s="1"/>
  <c r="B189" s="1"/>
  <c r="H29" i="31"/>
  <c r="H156" i="34"/>
  <c r="F1004"/>
  <c r="F1171"/>
  <c r="G336" s="1"/>
  <c r="I41" i="39"/>
  <c r="I25"/>
  <c r="D103"/>
  <c r="D60"/>
  <c r="D76"/>
  <c r="D65" i="38"/>
  <c r="F33" i="39"/>
  <c r="B105" i="33"/>
  <c r="B123" s="1"/>
  <c r="D79" i="38"/>
  <c r="F55" i="39"/>
  <c r="F98" s="1"/>
  <c r="F141" s="1"/>
  <c r="F184" s="1"/>
  <c r="F34"/>
  <c r="F77" s="1"/>
  <c r="B94"/>
  <c r="I51"/>
  <c r="G45"/>
  <c r="F45"/>
  <c r="F88" s="1"/>
  <c r="E45"/>
  <c r="E88" s="1"/>
  <c r="E131" s="1"/>
  <c r="E174" s="1"/>
  <c r="M64" i="40"/>
  <c r="E74" i="39"/>
  <c r="H59" i="32"/>
  <c r="G47" i="39"/>
  <c r="F47"/>
  <c r="F90" s="1"/>
  <c r="E47"/>
  <c r="I29"/>
  <c r="I30"/>
  <c r="I31"/>
  <c r="I32"/>
  <c r="I50"/>
  <c r="I21"/>
  <c r="I34"/>
  <c r="I48"/>
  <c r="I38"/>
  <c r="I26"/>
  <c r="I20"/>
  <c r="I55"/>
  <c r="I24"/>
  <c r="E96"/>
  <c r="E139" s="1"/>
  <c r="E182" s="1"/>
  <c r="H33" i="20"/>
  <c r="H47" i="39"/>
  <c r="D89"/>
  <c r="B60" i="33"/>
  <c r="B96"/>
  <c r="B114" s="1"/>
  <c r="D75" i="38"/>
  <c r="D81"/>
  <c r="D88"/>
  <c r="D101"/>
  <c r="D103"/>
  <c r="E33" i="42"/>
  <c r="I61" i="35"/>
  <c r="D24" i="39"/>
  <c r="F57"/>
  <c r="B100"/>
  <c r="B143" s="1"/>
  <c r="B186" s="1"/>
  <c r="D57"/>
  <c r="D100" s="1"/>
  <c r="B87"/>
  <c r="B130" s="1"/>
  <c r="B173" s="1"/>
  <c r="F44"/>
  <c r="F87" s="1"/>
  <c r="D37"/>
  <c r="D80" s="1"/>
  <c r="F24"/>
  <c r="F67" s="1"/>
  <c r="B67"/>
  <c r="B110" s="1"/>
  <c r="B153" s="1"/>
  <c r="H24"/>
  <c r="D29"/>
  <c r="D72" s="1"/>
  <c r="G29"/>
  <c r="G30"/>
  <c r="G31"/>
  <c r="G32"/>
  <c r="G53"/>
  <c r="G39"/>
  <c r="G25"/>
  <c r="G34"/>
  <c r="G46"/>
  <c r="G17"/>
  <c r="G26"/>
  <c r="D34"/>
  <c r="D77" s="1"/>
  <c r="H17" i="44"/>
  <c r="H9" i="38"/>
  <c r="G24"/>
  <c r="G26"/>
  <c r="G58"/>
  <c r="G50"/>
  <c r="G59"/>
  <c r="G30"/>
  <c r="G32"/>
  <c r="H982" i="34"/>
  <c r="H1149" s="1"/>
  <c r="H119"/>
  <c r="H48"/>
  <c r="D38" i="39"/>
  <c r="D81" s="1"/>
  <c r="H135" i="32"/>
  <c r="E71" i="38"/>
  <c r="E114" s="1"/>
  <c r="E157" s="1"/>
  <c r="D32" i="39"/>
  <c r="D75" s="1"/>
  <c r="D31"/>
  <c r="D30"/>
  <c r="D73" s="1"/>
  <c r="H182" i="34"/>
  <c r="H75" i="32"/>
  <c r="H55"/>
  <c r="E111" i="33"/>
  <c r="F39" s="1"/>
  <c r="H103" i="32"/>
  <c r="H141" i="34"/>
  <c r="G1127"/>
  <c r="H292" s="1"/>
  <c r="G117" i="32"/>
  <c r="G115" i="34"/>
  <c r="G895"/>
  <c r="G1062" s="1"/>
  <c r="H227" s="1"/>
  <c r="F1070"/>
  <c r="G235" s="1"/>
  <c r="H101"/>
  <c r="G901"/>
  <c r="H67"/>
  <c r="H159"/>
  <c r="G956"/>
  <c r="G1123" s="1"/>
  <c r="H288" s="1"/>
  <c r="H122"/>
  <c r="H956" s="1"/>
  <c r="G94" i="32"/>
  <c r="G25" i="33"/>
  <c r="F1097" i="34"/>
  <c r="G262" s="1"/>
  <c r="G76"/>
  <c r="F873"/>
  <c r="G39"/>
  <c r="F35"/>
  <c r="F37" i="32"/>
  <c r="F110"/>
  <c r="E137"/>
  <c r="E135" i="34"/>
  <c r="E130" i="32"/>
  <c r="E128" i="34"/>
  <c r="E877"/>
  <c r="E37" i="32"/>
  <c r="G138"/>
  <c r="G62"/>
  <c r="F1010" i="34"/>
  <c r="F1177" s="1"/>
  <c r="G342" s="1"/>
  <c r="G176"/>
  <c r="F970"/>
  <c r="F1137" s="1"/>
  <c r="G302" s="1"/>
  <c r="G136"/>
  <c r="F45" i="32"/>
  <c r="F43" i="34"/>
  <c r="F109" i="32"/>
  <c r="E989" i="34"/>
  <c r="F155"/>
  <c r="E898"/>
  <c r="E1047"/>
  <c r="F212" s="1"/>
  <c r="E880"/>
  <c r="E867"/>
  <c r="E1034" s="1"/>
  <c r="F199" s="1"/>
  <c r="D1026" i="27"/>
  <c r="D1212" s="1"/>
  <c r="E282" s="1"/>
  <c r="E96"/>
  <c r="D1209"/>
  <c r="E279" s="1"/>
  <c r="E47" i="43"/>
  <c r="E58"/>
  <c r="G162" i="32"/>
  <c r="G154"/>
  <c r="G120"/>
  <c r="G54"/>
  <c r="G171" i="34"/>
  <c r="F993"/>
  <c r="F986"/>
  <c r="G133"/>
  <c r="G89"/>
  <c r="F896"/>
  <c r="G62"/>
  <c r="G53"/>
  <c r="F171" i="32"/>
  <c r="F99"/>
  <c r="F1068" i="34"/>
  <c r="G233" s="1"/>
  <c r="F66"/>
  <c r="E899"/>
  <c r="E1066"/>
  <c r="F231" s="1"/>
  <c r="E889"/>
  <c r="E1056" s="1"/>
  <c r="F221" s="1"/>
  <c r="E1046"/>
  <c r="F211" s="1"/>
  <c r="D1044"/>
  <c r="E209" s="1"/>
  <c r="E93" i="32"/>
  <c r="H118" i="27"/>
  <c r="H119" i="9"/>
  <c r="E1043" i="27"/>
  <c r="E1229"/>
  <c r="F299" s="1"/>
  <c r="D1038"/>
  <c r="D1224" s="1"/>
  <c r="E294" s="1"/>
  <c r="E108"/>
  <c r="E1032"/>
  <c r="E1218"/>
  <c r="F288" s="1"/>
  <c r="D64" i="3"/>
  <c r="D9" s="1"/>
  <c r="F7" i="40"/>
  <c r="F10" i="23" s="1"/>
  <c r="F9" i="40"/>
  <c r="F8"/>
  <c r="G8"/>
  <c r="G9"/>
  <c r="G7"/>
  <c r="G10" i="23" s="1"/>
  <c r="H8" i="40"/>
  <c r="H7"/>
  <c r="H10" i="23" s="1"/>
  <c r="H9" i="40"/>
  <c r="I9"/>
  <c r="I8"/>
  <c r="I7"/>
  <c r="I10" i="23" s="1"/>
  <c r="E10" i="40"/>
  <c r="E10" i="36" s="1"/>
  <c r="E11" i="40"/>
  <c r="E11" i="36" s="1"/>
  <c r="G10" i="40"/>
  <c r="G10" i="36" s="1"/>
  <c r="G11" i="40"/>
  <c r="G11" i="36" s="1"/>
  <c r="F11" i="40"/>
  <c r="F11" i="36" s="1"/>
  <c r="F10" i="40"/>
  <c r="F10" i="36" s="1"/>
  <c r="H10" i="40"/>
  <c r="H10" i="36" s="1"/>
  <c r="I10" i="40"/>
  <c r="I10" i="36" s="1"/>
  <c r="I11" i="40"/>
  <c r="I11" i="36" s="1"/>
  <c r="G28" i="43"/>
  <c r="G84" i="34"/>
  <c r="G48" i="32"/>
  <c r="G32" i="31"/>
  <c r="E117" i="33"/>
  <c r="F45" s="1"/>
  <c r="G180" i="34"/>
  <c r="F178" i="32"/>
  <c r="F70"/>
  <c r="F26" i="33"/>
  <c r="E1077" i="34"/>
  <c r="F242" s="1"/>
  <c r="F910" s="1"/>
  <c r="G94"/>
  <c r="G96" i="32"/>
  <c r="H64" i="34"/>
  <c r="G126" i="32"/>
  <c r="F99" i="33"/>
  <c r="G29"/>
  <c r="G175" i="34"/>
  <c r="F974"/>
  <c r="F1141" s="1"/>
  <c r="G306" s="1"/>
  <c r="G140"/>
  <c r="F112"/>
  <c r="F114" i="32"/>
  <c r="G98" i="34"/>
  <c r="F69" i="32"/>
  <c r="E113" i="33"/>
  <c r="F41" s="1"/>
  <c r="E1014" i="34"/>
  <c r="E1181" s="1"/>
  <c r="F346" s="1"/>
  <c r="E1165"/>
  <c r="F330" s="1"/>
  <c r="E990"/>
  <c r="F87"/>
  <c r="E921"/>
  <c r="F27"/>
  <c r="D891"/>
  <c r="D1058" s="1"/>
  <c r="E223" s="1"/>
  <c r="D1048"/>
  <c r="E213" s="1"/>
  <c r="D881"/>
  <c r="E117" i="9"/>
  <c r="H129" i="34"/>
  <c r="G182" i="32"/>
  <c r="G106"/>
  <c r="G44"/>
  <c r="G26"/>
  <c r="F1002" i="34"/>
  <c r="F1169" s="1"/>
  <c r="G334" s="1"/>
  <c r="G168"/>
  <c r="F158"/>
  <c r="F160" i="32"/>
  <c r="F976" i="34"/>
  <c r="F1143" s="1"/>
  <c r="G308" s="1"/>
  <c r="G142"/>
  <c r="F95" i="32"/>
  <c r="F93" i="34"/>
  <c r="F924"/>
  <c r="F1091" s="1"/>
  <c r="G256" s="1"/>
  <c r="F68"/>
  <c r="F86" i="32"/>
  <c r="H68"/>
  <c r="G1004" i="34"/>
  <c r="G952"/>
  <c r="G1119" s="1"/>
  <c r="H284" s="1"/>
  <c r="H118"/>
  <c r="H952" s="1"/>
  <c r="G53" i="32"/>
  <c r="G51" i="34"/>
  <c r="H11" i="40"/>
  <c r="H11" i="36" s="1"/>
  <c r="G174" i="32"/>
  <c r="G64"/>
  <c r="G28" i="31"/>
  <c r="G179" i="34"/>
  <c r="G153"/>
  <c r="G144"/>
  <c r="F183" i="32"/>
  <c r="F149"/>
  <c r="F131"/>
  <c r="F34"/>
  <c r="E1000" i="34"/>
  <c r="E1167" s="1"/>
  <c r="F332" s="1"/>
  <c r="E136" i="32"/>
  <c r="H59" i="34"/>
  <c r="G960"/>
  <c r="H45"/>
  <c r="G164" i="32"/>
  <c r="G104"/>
  <c r="F1018" i="34"/>
  <c r="F1185" s="1"/>
  <c r="G350" s="1"/>
  <c r="G184"/>
  <c r="G172"/>
  <c r="F1040"/>
  <c r="G205" s="1"/>
  <c r="G1038"/>
  <c r="H203" s="1"/>
  <c r="H871" s="1"/>
  <c r="F157" i="32"/>
  <c r="E973" i="34"/>
  <c r="F139"/>
  <c r="F996"/>
  <c r="F1163" s="1"/>
  <c r="G328" s="1"/>
  <c r="G996" s="1"/>
  <c r="F966"/>
  <c r="F912"/>
  <c r="F1079" s="1"/>
  <c r="G244" s="1"/>
  <c r="F173" i="32"/>
  <c r="F33" i="31"/>
  <c r="E34" i="34"/>
  <c r="E36" i="32"/>
  <c r="E859" i="34"/>
  <c r="D26"/>
  <c r="D28" i="32"/>
  <c r="H152" i="9"/>
  <c r="F103" i="33"/>
  <c r="F121" s="1"/>
  <c r="G49" s="1"/>
  <c r="F942" i="34"/>
  <c r="F1109" s="1"/>
  <c r="G274" s="1"/>
  <c r="G44"/>
  <c r="F1032"/>
  <c r="G197" s="1"/>
  <c r="F117" i="32"/>
  <c r="F77"/>
  <c r="F47"/>
  <c r="F34" i="33"/>
  <c r="E100"/>
  <c r="E118" s="1"/>
  <c r="F46" s="1"/>
  <c r="F30"/>
  <c r="E95"/>
  <c r="E1157" i="34"/>
  <c r="F322" s="1"/>
  <c r="E1153"/>
  <c r="F318" s="1"/>
  <c r="E1081"/>
  <c r="F246" s="1"/>
  <c r="E1029"/>
  <c r="F194" s="1"/>
  <c r="E1116"/>
  <c r="F281" s="1"/>
  <c r="E1084"/>
  <c r="F249" s="1"/>
  <c r="D1076"/>
  <c r="E241" s="1"/>
  <c r="E170" i="32"/>
  <c r="E140"/>
  <c r="D122"/>
  <c r="D120" i="34"/>
  <c r="G926"/>
  <c r="G157"/>
  <c r="F934"/>
  <c r="F1101" s="1"/>
  <c r="G266" s="1"/>
  <c r="F79" i="32"/>
  <c r="F77" i="34"/>
  <c r="F903"/>
  <c r="G63"/>
  <c r="F865"/>
  <c r="F105" i="32"/>
  <c r="F75"/>
  <c r="E93" i="33"/>
  <c r="E994" i="34"/>
  <c r="E1161" s="1"/>
  <c r="F326" s="1"/>
  <c r="F160"/>
  <c r="E1130"/>
  <c r="F295" s="1"/>
  <c r="F963" s="1"/>
  <c r="E111"/>
  <c r="E113" i="32"/>
  <c r="E905" i="34"/>
  <c r="E1072" s="1"/>
  <c r="F237" s="1"/>
  <c r="F57"/>
  <c r="H124" i="9"/>
  <c r="H123" i="27"/>
  <c r="G63" i="9"/>
  <c r="F97" i="33"/>
  <c r="F115" s="1"/>
  <c r="G43" s="1"/>
  <c r="F1087" i="34"/>
  <c r="G252" s="1"/>
  <c r="F901"/>
  <c r="F874"/>
  <c r="F1041" s="1"/>
  <c r="G206" s="1"/>
  <c r="F22" i="33"/>
  <c r="F181" i="34"/>
  <c r="E1008"/>
  <c r="E1175" s="1"/>
  <c r="F340" s="1"/>
  <c r="E1145"/>
  <c r="F310" s="1"/>
  <c r="E963"/>
  <c r="E1099"/>
  <c r="F264" s="1"/>
  <c r="F932" s="1"/>
  <c r="E922"/>
  <c r="E1089" s="1"/>
  <c r="F254" s="1"/>
  <c r="E1063"/>
  <c r="F228" s="1"/>
  <c r="D105" i="33"/>
  <c r="D123" s="1"/>
  <c r="E51" s="1"/>
  <c r="E35"/>
  <c r="D1166" i="34"/>
  <c r="E331" s="1"/>
  <c r="F958"/>
  <c r="F1125" s="1"/>
  <c r="G290" s="1"/>
  <c r="G124"/>
  <c r="F920"/>
  <c r="F879"/>
  <c r="F687" i="32"/>
  <c r="F11" s="1"/>
  <c r="F151"/>
  <c r="F103"/>
  <c r="F89"/>
  <c r="E1006" i="34"/>
  <c r="E1173" s="1"/>
  <c r="F338" s="1"/>
  <c r="F165"/>
  <c r="E995"/>
  <c r="E1162" s="1"/>
  <c r="F327" s="1"/>
  <c r="E123"/>
  <c r="E125" i="32"/>
  <c r="E1103" i="34"/>
  <c r="F268" s="1"/>
  <c r="E1080"/>
  <c r="F245" s="1"/>
  <c r="F75"/>
  <c r="E872"/>
  <c r="E32" i="32"/>
  <c r="E30" i="34"/>
  <c r="E857"/>
  <c r="E1024" s="1"/>
  <c r="F189" s="1"/>
  <c r="D53" i="31"/>
  <c r="D9" s="1"/>
  <c r="D16" s="1"/>
  <c r="H47" i="9"/>
  <c r="H46" i="27"/>
  <c r="E1012" i="34"/>
  <c r="E1179" s="1"/>
  <c r="F344" s="1"/>
  <c r="E965"/>
  <c r="E938"/>
  <c r="E1105" s="1"/>
  <c r="F270" s="1"/>
  <c r="F938" s="1"/>
  <c r="E856"/>
  <c r="D112" i="33"/>
  <c r="E40" s="1"/>
  <c r="D907" i="34"/>
  <c r="D1074" s="1"/>
  <c r="E239" s="1"/>
  <c r="D1069"/>
  <c r="E234" s="1"/>
  <c r="E902" s="1"/>
  <c r="D897"/>
  <c r="D1064" s="1"/>
  <c r="E229" s="1"/>
  <c r="D875"/>
  <c r="D1042" s="1"/>
  <c r="E207" s="1"/>
  <c r="D870"/>
  <c r="D1037" s="1"/>
  <c r="E202" s="1"/>
  <c r="E41" i="32"/>
  <c r="E26" i="31"/>
  <c r="H173" i="27"/>
  <c r="E983" i="34"/>
  <c r="E1150" s="1"/>
  <c r="F315" s="1"/>
  <c r="E978"/>
  <c r="E966"/>
  <c r="E1133" s="1"/>
  <c r="F298" s="1"/>
  <c r="E939"/>
  <c r="E1106" s="1"/>
  <c r="F271" s="1"/>
  <c r="E887"/>
  <c r="E1054" s="1"/>
  <c r="F219" s="1"/>
  <c r="E883"/>
  <c r="E1050" s="1"/>
  <c r="F215" s="1"/>
  <c r="E879"/>
  <c r="D120" i="33"/>
  <c r="E48" s="1"/>
  <c r="D96"/>
  <c r="D114" s="1"/>
  <c r="E42" s="1"/>
  <c r="D1118" i="34"/>
  <c r="E283" s="1"/>
  <c r="D1114"/>
  <c r="E279" s="1"/>
  <c r="D1110"/>
  <c r="E275" s="1"/>
  <c r="E943" s="1"/>
  <c r="D1104"/>
  <c r="E269" s="1"/>
  <c r="D1100"/>
  <c r="E265" s="1"/>
  <c r="D1096"/>
  <c r="E261" s="1"/>
  <c r="D1092"/>
  <c r="E257" s="1"/>
  <c r="D1088"/>
  <c r="E253" s="1"/>
  <c r="D1086"/>
  <c r="E251" s="1"/>
  <c r="D1082"/>
  <c r="E247" s="1"/>
  <c r="D1078"/>
  <c r="E243" s="1"/>
  <c r="D1073"/>
  <c r="E238" s="1"/>
  <c r="D882"/>
  <c r="D1049" s="1"/>
  <c r="E214" s="1"/>
  <c r="D859"/>
  <c r="D1026" s="1"/>
  <c r="E191" s="1"/>
  <c r="E88" i="32"/>
  <c r="E49"/>
  <c r="E22" i="31"/>
  <c r="G132" i="9"/>
  <c r="G124"/>
  <c r="E102" i="33"/>
  <c r="E1011" i="34"/>
  <c r="E998"/>
  <c r="E959"/>
  <c r="E950"/>
  <c r="E1117" s="1"/>
  <c r="F282" s="1"/>
  <c r="E946"/>
  <c r="E1113" s="1"/>
  <c r="F278" s="1"/>
  <c r="E918"/>
  <c r="E1085" s="1"/>
  <c r="F250" s="1"/>
  <c r="E914"/>
  <c r="E910"/>
  <c r="D1184"/>
  <c r="E349" s="1"/>
  <c r="D1182"/>
  <c r="E347" s="1"/>
  <c r="E1015" s="1"/>
  <c r="D1180"/>
  <c r="E345" s="1"/>
  <c r="D1178"/>
  <c r="E343" s="1"/>
  <c r="D1176"/>
  <c r="E341" s="1"/>
  <c r="D1174"/>
  <c r="E339" s="1"/>
  <c r="D1172"/>
  <c r="E337" s="1"/>
  <c r="D1170"/>
  <c r="E335" s="1"/>
  <c r="D1168"/>
  <c r="E333" s="1"/>
  <c r="D1164"/>
  <c r="E329" s="1"/>
  <c r="D1158"/>
  <c r="E323" s="1"/>
  <c r="D1156"/>
  <c r="E321" s="1"/>
  <c r="D1154"/>
  <c r="E319" s="1"/>
  <c r="D1148"/>
  <c r="E313" s="1"/>
  <c r="D1146"/>
  <c r="E311" s="1"/>
  <c r="D1144"/>
  <c r="E309" s="1"/>
  <c r="D1142"/>
  <c r="E307" s="1"/>
  <c r="D1140"/>
  <c r="E305" s="1"/>
  <c r="D1136"/>
  <c r="E301" s="1"/>
  <c r="D1134"/>
  <c r="E299" s="1"/>
  <c r="D1132"/>
  <c r="E297" s="1"/>
  <c r="D1128"/>
  <c r="E293" s="1"/>
  <c r="D1126"/>
  <c r="E291" s="1"/>
  <c r="D1124"/>
  <c r="E289" s="1"/>
  <c r="E941"/>
  <c r="E1108" s="1"/>
  <c r="F273" s="1"/>
  <c r="E935"/>
  <c r="E1102" s="1"/>
  <c r="F267" s="1"/>
  <c r="E931"/>
  <c r="E1098" s="1"/>
  <c r="F263" s="1"/>
  <c r="E927"/>
  <c r="E1094" s="1"/>
  <c r="F259" s="1"/>
  <c r="E925"/>
  <c r="E923"/>
  <c r="E1090" s="1"/>
  <c r="F255" s="1"/>
  <c r="E913"/>
  <c r="D856"/>
  <c r="D1023"/>
  <c r="E188" s="1"/>
  <c r="E72" i="32"/>
  <c r="D687"/>
  <c r="D11" s="1"/>
  <c r="H115" i="27"/>
  <c r="H116" i="9"/>
  <c r="E98" i="33"/>
  <c r="E116" s="1"/>
  <c r="F44" s="1"/>
  <c r="E94"/>
  <c r="E1007" i="34"/>
  <c r="E988"/>
  <c r="E1155" s="1"/>
  <c r="F320" s="1"/>
  <c r="F988" s="1"/>
  <c r="E130"/>
  <c r="E132" i="32"/>
  <c r="E955" i="34"/>
  <c r="E1122" s="1"/>
  <c r="F287" s="1"/>
  <c r="F955" s="1"/>
  <c r="E114"/>
  <c r="E116" i="32"/>
  <c r="E944" i="34"/>
  <c r="E1111" s="1"/>
  <c r="F276" s="1"/>
  <c r="E82"/>
  <c r="E84" i="32"/>
  <c r="D104" i="33"/>
  <c r="D122" s="1"/>
  <c r="E50" s="1"/>
  <c r="D92"/>
  <c r="D1067" i="34"/>
  <c r="E232" s="1"/>
  <c r="D1060"/>
  <c r="E225" s="1"/>
  <c r="D886"/>
  <c r="D1053" s="1"/>
  <c r="E218" s="1"/>
  <c r="D868"/>
  <c r="D1035" s="1"/>
  <c r="E200" s="1"/>
  <c r="D1028"/>
  <c r="E193" s="1"/>
  <c r="D21"/>
  <c r="D23" i="32"/>
  <c r="E30" i="31"/>
  <c r="H34" i="9"/>
  <c r="F133" i="29"/>
  <c r="F157"/>
  <c r="G61" s="1"/>
  <c r="E1016" i="34"/>
  <c r="E1183" s="1"/>
  <c r="F348" s="1"/>
  <c r="E1003"/>
  <c r="E150"/>
  <c r="E152" i="32"/>
  <c r="E979" i="34"/>
  <c r="E975"/>
  <c r="E968"/>
  <c r="E1135" s="1"/>
  <c r="F300" s="1"/>
  <c r="E953"/>
  <c r="E1120" s="1"/>
  <c r="F285" s="1"/>
  <c r="E106"/>
  <c r="E108" i="32"/>
  <c r="E936" i="34"/>
  <c r="E932"/>
  <c r="E928"/>
  <c r="E1095" s="1"/>
  <c r="F260" s="1"/>
  <c r="E882"/>
  <c r="E863"/>
  <c r="E1030" s="1"/>
  <c r="F195" s="1"/>
  <c r="F863" s="1"/>
  <c r="E993"/>
  <c r="E1160" s="1"/>
  <c r="F325" s="1"/>
  <c r="E987"/>
  <c r="E985"/>
  <c r="E1152" s="1"/>
  <c r="F317" s="1"/>
  <c r="E977"/>
  <c r="E971"/>
  <c r="E1138" s="1"/>
  <c r="F303" s="1"/>
  <c r="D898"/>
  <c r="D1065" s="1"/>
  <c r="E230" s="1"/>
  <c r="E885"/>
  <c r="E1052" s="1"/>
  <c r="F217" s="1"/>
  <c r="H146" i="9"/>
  <c r="G1082" i="27"/>
  <c r="G1268"/>
  <c r="H338" s="1"/>
  <c r="G1004"/>
  <c r="G1190"/>
  <c r="H260" s="1"/>
  <c r="D894" i="34"/>
  <c r="D1061" s="1"/>
  <c r="E226" s="1"/>
  <c r="D878"/>
  <c r="D1045" s="1"/>
  <c r="E210" s="1"/>
  <c r="E878" s="1"/>
  <c r="D866"/>
  <c r="D1033" s="1"/>
  <c r="E198" s="1"/>
  <c r="H154" i="9"/>
  <c r="H86"/>
  <c r="H78"/>
  <c r="G109" i="27"/>
  <c r="G110" i="9"/>
  <c r="G1179" i="27"/>
  <c r="H249" s="1"/>
  <c r="G24" i="9"/>
  <c r="G119" i="29"/>
  <c r="G143"/>
  <c r="H47" s="1"/>
  <c r="D900" i="34"/>
  <c r="D884"/>
  <c r="D1051" s="1"/>
  <c r="E216" s="1"/>
  <c r="D872"/>
  <c r="D1039" s="1"/>
  <c r="E204" s="1"/>
  <c r="D858"/>
  <c r="D1025" s="1"/>
  <c r="E190" s="1"/>
  <c r="H198" i="9"/>
  <c r="G166"/>
  <c r="F131" i="29"/>
  <c r="G37"/>
  <c r="D904" i="34"/>
  <c r="D1071" s="1"/>
  <c r="E236" s="1"/>
  <c r="D888"/>
  <c r="D1055" s="1"/>
  <c r="E220" s="1"/>
  <c r="H90" i="9"/>
  <c r="H89" i="27"/>
  <c r="G120" i="29"/>
  <c r="G144" s="1"/>
  <c r="H48" s="1"/>
  <c r="H26"/>
  <c r="G101" i="9"/>
  <c r="G100" i="27"/>
  <c r="D906" i="34"/>
  <c r="D890"/>
  <c r="D1057" s="1"/>
  <c r="E222" s="1"/>
  <c r="H989" i="27"/>
  <c r="H1175" s="1"/>
  <c r="C10" i="46"/>
  <c r="E10" s="1"/>
  <c r="O150" i="30" s="1"/>
  <c r="G1112" i="27"/>
  <c r="G27" i="3"/>
  <c r="F148" i="9"/>
  <c r="D908" i="34"/>
  <c r="D1075" s="1"/>
  <c r="E240" s="1"/>
  <c r="D892"/>
  <c r="D1059" s="1"/>
  <c r="E224" s="1"/>
  <c r="D876"/>
  <c r="D1043" s="1"/>
  <c r="E208" s="1"/>
  <c r="D864"/>
  <c r="D1031" s="1"/>
  <c r="E196" s="1"/>
  <c r="E687" i="32"/>
  <c r="H978" i="27"/>
  <c r="G1101"/>
  <c r="G179" i="9"/>
  <c r="F1125" i="27"/>
  <c r="F1311" s="1"/>
  <c r="G381" s="1"/>
  <c r="G195"/>
  <c r="G1122"/>
  <c r="G1308" s="1"/>
  <c r="H378" s="1"/>
  <c r="G144"/>
  <c r="F1064"/>
  <c r="F1250" s="1"/>
  <c r="G320" s="1"/>
  <c r="E1129"/>
  <c r="E1315" s="1"/>
  <c r="F385" s="1"/>
  <c r="F199"/>
  <c r="F197"/>
  <c r="E1109"/>
  <c r="E1295" s="1"/>
  <c r="F365" s="1"/>
  <c r="F179"/>
  <c r="E1061"/>
  <c r="E1247"/>
  <c r="F317" s="1"/>
  <c r="F1061" s="1"/>
  <c r="F1044"/>
  <c r="F1230" s="1"/>
  <c r="G300" s="1"/>
  <c r="C9" i="46"/>
  <c r="G128" i="29"/>
  <c r="G152" s="1"/>
  <c r="H56" s="1"/>
  <c r="G1130" i="27"/>
  <c r="G1316" s="1"/>
  <c r="H386" s="1"/>
  <c r="F1115"/>
  <c r="F1301" s="1"/>
  <c r="G371" s="1"/>
  <c r="G978"/>
  <c r="G1164" s="1"/>
  <c r="H234" s="1"/>
  <c r="G190" i="9"/>
  <c r="G119"/>
  <c r="I26" i="23"/>
  <c r="G982" i="27"/>
  <c r="C5" i="46"/>
  <c r="E5" s="1"/>
  <c r="O149" i="30" s="1"/>
  <c r="G199" i="9"/>
  <c r="G183"/>
  <c r="G159"/>
  <c r="G151"/>
  <c r="G23" i="3"/>
  <c r="F124" i="29"/>
  <c r="F140"/>
  <c r="F966" i="27"/>
  <c r="F1152" s="1"/>
  <c r="G222" s="1"/>
  <c r="I27" i="23"/>
  <c r="G1090" i="27"/>
  <c r="G1017"/>
  <c r="G1203" s="1"/>
  <c r="H273" s="1"/>
  <c r="G997"/>
  <c r="G985"/>
  <c r="G139" i="9"/>
  <c r="G55"/>
  <c r="F1060" i="27"/>
  <c r="G130"/>
  <c r="G89"/>
  <c r="G1009"/>
  <c r="G995"/>
  <c r="G1181" s="1"/>
  <c r="H251" s="1"/>
  <c r="G958"/>
  <c r="G1144" s="1"/>
  <c r="H214" s="1"/>
  <c r="G91" i="9"/>
  <c r="F159" i="29"/>
  <c r="G63" s="1"/>
  <c r="F117"/>
  <c r="F141" s="1"/>
  <c r="G45" s="1"/>
  <c r="F104" i="27"/>
  <c r="F105" i="9"/>
  <c r="F1014" i="27"/>
  <c r="F1200" s="1"/>
  <c r="G270" s="1"/>
  <c r="G115" i="9"/>
  <c r="G114" i="27"/>
  <c r="G1022"/>
  <c r="G1208" s="1"/>
  <c r="H278" s="1"/>
  <c r="G984"/>
  <c r="H26" i="23"/>
  <c r="H25"/>
  <c r="F145" i="29"/>
  <c r="G49" s="1"/>
  <c r="F121"/>
  <c r="E132"/>
  <c r="E156" s="1"/>
  <c r="F60" s="1"/>
  <c r="F38"/>
  <c r="F125"/>
  <c r="F149" s="1"/>
  <c r="G53" s="1"/>
  <c r="G1079" i="27"/>
  <c r="G1265" s="1"/>
  <c r="H335" s="1"/>
  <c r="G1075"/>
  <c r="G1261" s="1"/>
  <c r="H331" s="1"/>
  <c r="G1062"/>
  <c r="G1248" s="1"/>
  <c r="H318" s="1"/>
  <c r="H1062" s="1"/>
  <c r="G1058"/>
  <c r="G1244" s="1"/>
  <c r="H314" s="1"/>
  <c r="G68"/>
  <c r="G143" i="9"/>
  <c r="G51"/>
  <c r="F1107" i="27"/>
  <c r="F1293"/>
  <c r="G363" s="1"/>
  <c r="F991"/>
  <c r="F1177" s="1"/>
  <c r="G247" s="1"/>
  <c r="F984"/>
  <c r="F1170"/>
  <c r="G240" s="1"/>
  <c r="F161" i="9"/>
  <c r="F153"/>
  <c r="F77"/>
  <c r="F1101" i="27"/>
  <c r="F1287" s="1"/>
  <c r="G357" s="1"/>
  <c r="F1097"/>
  <c r="F1095"/>
  <c r="F1281" s="1"/>
  <c r="G351" s="1"/>
  <c r="F996"/>
  <c r="F37" i="3"/>
  <c r="F29"/>
  <c r="E126" i="29"/>
  <c r="E150" s="1"/>
  <c r="F54" s="1"/>
  <c r="F32"/>
  <c r="E1113" i="27"/>
  <c r="E1299" s="1"/>
  <c r="F369" s="1"/>
  <c r="F183"/>
  <c r="E1077"/>
  <c r="E1263" s="1"/>
  <c r="F333" s="1"/>
  <c r="F147"/>
  <c r="F1116"/>
  <c r="F1302" s="1"/>
  <c r="G372" s="1"/>
  <c r="F185" i="9"/>
  <c r="F109"/>
  <c r="F101"/>
  <c r="E1274" i="27"/>
  <c r="F344" s="1"/>
  <c r="E1087"/>
  <c r="E1273" s="1"/>
  <c r="F343" s="1"/>
  <c r="F157"/>
  <c r="E1254"/>
  <c r="F324" s="1"/>
  <c r="E1252"/>
  <c r="F322" s="1"/>
  <c r="F987"/>
  <c r="F1173" s="1"/>
  <c r="G243" s="1"/>
  <c r="E1196"/>
  <c r="F266" s="1"/>
  <c r="F1010" s="1"/>
  <c r="E1007"/>
  <c r="E1193"/>
  <c r="F263" s="1"/>
  <c r="E992"/>
  <c r="E1178" s="1"/>
  <c r="F248" s="1"/>
  <c r="F62"/>
  <c r="F1091"/>
  <c r="F1009"/>
  <c r="F1195" s="1"/>
  <c r="G265" s="1"/>
  <c r="F1112"/>
  <c r="F1298" s="1"/>
  <c r="G368" s="1"/>
  <c r="F1032"/>
  <c r="F1015"/>
  <c r="F1201" s="1"/>
  <c r="G271" s="1"/>
  <c r="F1000"/>
  <c r="F1186" s="1"/>
  <c r="G256" s="1"/>
  <c r="F986"/>
  <c r="F1172" s="1"/>
  <c r="G242" s="1"/>
  <c r="F762" i="9"/>
  <c r="F111" i="27"/>
  <c r="F103"/>
  <c r="E1166"/>
  <c r="F236" s="1"/>
  <c r="F985"/>
  <c r="F1171" s="1"/>
  <c r="G241" s="1"/>
  <c r="F982"/>
  <c r="F1168" s="1"/>
  <c r="G238" s="1"/>
  <c r="F974"/>
  <c r="F960"/>
  <c r="F1146" s="1"/>
  <c r="G216" s="1"/>
  <c r="G960" s="1"/>
  <c r="F94"/>
  <c r="E1012"/>
  <c r="E1198"/>
  <c r="F268" s="1"/>
  <c r="E1001"/>
  <c r="F1096"/>
  <c r="F1282" s="1"/>
  <c r="G352" s="1"/>
  <c r="F1090"/>
  <c r="F1276" s="1"/>
  <c r="G346" s="1"/>
  <c r="F1070"/>
  <c r="F1256" s="1"/>
  <c r="G326" s="1"/>
  <c r="F1018"/>
  <c r="F1204" s="1"/>
  <c r="G274" s="1"/>
  <c r="F955"/>
  <c r="F1141" s="1"/>
  <c r="G211" s="1"/>
  <c r="E1278"/>
  <c r="F348" s="1"/>
  <c r="E1161"/>
  <c r="F231" s="1"/>
  <c r="F1078"/>
  <c r="F1051"/>
  <c r="F997"/>
  <c r="F1183" s="1"/>
  <c r="G253" s="1"/>
  <c r="F965"/>
  <c r="F1151" s="1"/>
  <c r="G221" s="1"/>
  <c r="E975"/>
  <c r="F45"/>
  <c r="E971"/>
  <c r="E1157"/>
  <c r="F227" s="1"/>
  <c r="F970"/>
  <c r="F1156" s="1"/>
  <c r="G226" s="1"/>
  <c r="F963"/>
  <c r="E175"/>
  <c r="E176" i="9"/>
  <c r="E1088" i="27"/>
  <c r="F158"/>
  <c r="E1272"/>
  <c r="F342" s="1"/>
  <c r="E1049"/>
  <c r="E1235" s="1"/>
  <c r="F305" s="1"/>
  <c r="F119"/>
  <c r="E1045"/>
  <c r="E1231" s="1"/>
  <c r="F301" s="1"/>
  <c r="F115"/>
  <c r="E81"/>
  <c r="E82" i="9"/>
  <c r="E968" i="27"/>
  <c r="E1154" s="1"/>
  <c r="F224" s="1"/>
  <c r="E131" i="29"/>
  <c r="E155" s="1"/>
  <c r="F59" s="1"/>
  <c r="E1121" i="27"/>
  <c r="E1307" s="1"/>
  <c r="F377" s="1"/>
  <c r="E1010"/>
  <c r="E124" i="29"/>
  <c r="E148" s="1"/>
  <c r="F52" s="1"/>
  <c r="E1133" i="27"/>
  <c r="E1106"/>
  <c r="E1292" s="1"/>
  <c r="F362" s="1"/>
  <c r="E1084"/>
  <c r="E1270" s="1"/>
  <c r="F340" s="1"/>
  <c r="F1084" s="1"/>
  <c r="E1057"/>
  <c r="E1243" s="1"/>
  <c r="F313" s="1"/>
  <c r="F1057" s="1"/>
  <c r="E996"/>
  <c r="E1182" s="1"/>
  <c r="F252" s="1"/>
  <c r="E43" i="9"/>
  <c r="E35"/>
  <c r="E1006" i="27"/>
  <c r="G6" i="36"/>
  <c r="G6" i="23"/>
  <c r="E1102" i="27"/>
  <c r="E1055"/>
  <c r="E1241" s="1"/>
  <c r="F311" s="1"/>
  <c r="E1108"/>
  <c r="E1294" s="1"/>
  <c r="F364" s="1"/>
  <c r="E1097"/>
  <c r="E1283" s="1"/>
  <c r="F353" s="1"/>
  <c r="E1085"/>
  <c r="E1271" s="1"/>
  <c r="F341" s="1"/>
  <c r="E1074"/>
  <c r="E1260" s="1"/>
  <c r="F330" s="1"/>
  <c r="E1072"/>
  <c r="E1258" s="1"/>
  <c r="F328" s="1"/>
  <c r="E1042"/>
  <c r="E1228" s="1"/>
  <c r="F298" s="1"/>
  <c r="E1005"/>
  <c r="E1191" s="1"/>
  <c r="F261" s="1"/>
  <c r="E994"/>
  <c r="E1180" s="1"/>
  <c r="F250" s="1"/>
  <c r="E959"/>
  <c r="E1145" s="1"/>
  <c r="F215" s="1"/>
  <c r="F959" s="1"/>
  <c r="E1103"/>
  <c r="E1289" s="1"/>
  <c r="F359" s="1"/>
  <c r="E1092"/>
  <c r="E1071"/>
  <c r="E1257" s="1"/>
  <c r="F327" s="1"/>
  <c r="E1068"/>
  <c r="E1060"/>
  <c r="E1246" s="1"/>
  <c r="F316" s="1"/>
  <c r="E1053"/>
  <c r="E1239" s="1"/>
  <c r="F309" s="1"/>
  <c r="E1050"/>
  <c r="E1029"/>
  <c r="E1215" s="1"/>
  <c r="F285" s="1"/>
  <c r="E980"/>
  <c r="E963"/>
  <c r="E1149" s="1"/>
  <c r="F219" s="1"/>
  <c r="D1132"/>
  <c r="D1318" s="1"/>
  <c r="E388" s="1"/>
  <c r="E202"/>
  <c r="E1119"/>
  <c r="E1093"/>
  <c r="E1279" s="1"/>
  <c r="F349" s="1"/>
  <c r="E1086"/>
  <c r="E1083"/>
  <c r="E1269" s="1"/>
  <c r="F339" s="1"/>
  <c r="E1016"/>
  <c r="E1202" s="1"/>
  <c r="F272" s="1"/>
  <c r="E1013"/>
  <c r="E1199" s="1"/>
  <c r="F269" s="1"/>
  <c r="E990"/>
  <c r="E1176" s="1"/>
  <c r="F246" s="1"/>
  <c r="E1078"/>
  <c r="E1264" s="1"/>
  <c r="F334" s="1"/>
  <c r="E1034"/>
  <c r="E1220" s="1"/>
  <c r="F290" s="1"/>
  <c r="E1028"/>
  <c r="E1214" s="1"/>
  <c r="F284" s="1"/>
  <c r="E981"/>
  <c r="E976"/>
  <c r="E1162" s="1"/>
  <c r="F232" s="1"/>
  <c r="E1131"/>
  <c r="E1317" s="1"/>
  <c r="F387" s="1"/>
  <c r="F1131" s="1"/>
  <c r="E1104"/>
  <c r="E1290" s="1"/>
  <c r="F360" s="1"/>
  <c r="E1091"/>
  <c r="E1277" s="1"/>
  <c r="F347" s="1"/>
  <c r="E1056"/>
  <c r="E1242" s="1"/>
  <c r="F312" s="1"/>
  <c r="E1051"/>
  <c r="E1237" s="1"/>
  <c r="F307" s="1"/>
  <c r="E1040"/>
  <c r="E1226" s="1"/>
  <c r="F296" s="1"/>
  <c r="E1037"/>
  <c r="E1030"/>
  <c r="E1216" s="1"/>
  <c r="F286" s="1"/>
  <c r="E1021"/>
  <c r="E1207" s="1"/>
  <c r="F277" s="1"/>
  <c r="E979"/>
  <c r="E1165" s="1"/>
  <c r="F235" s="1"/>
  <c r="F979" s="1"/>
  <c r="E974"/>
  <c r="E1160" s="1"/>
  <c r="F230" s="1"/>
  <c r="D187"/>
  <c r="D188" i="9"/>
  <c r="D738" i="27"/>
  <c r="D738" i="9"/>
  <c r="E953" i="27"/>
  <c r="E1139" s="1"/>
  <c r="F209" s="1"/>
  <c r="D32"/>
  <c r="D33" i="9"/>
  <c r="F61" i="2"/>
  <c r="D146" i="27"/>
  <c r="D147" i="9"/>
  <c r="D1031" i="27"/>
  <c r="D1217" s="1"/>
  <c r="E287" s="1"/>
  <c r="D137"/>
  <c r="D138" i="9"/>
  <c r="D194" i="27"/>
  <c r="D195" i="9"/>
  <c r="D1048" i="27"/>
  <c r="D1234" s="1"/>
  <c r="E304" s="1"/>
  <c r="D1046"/>
  <c r="D1232" s="1"/>
  <c r="E302" s="1"/>
  <c r="D26"/>
  <c r="D24"/>
  <c r="D748"/>
  <c r="D1120" s="1"/>
  <c r="D1306" s="1"/>
  <c r="E376" s="1"/>
  <c r="D748" i="9"/>
  <c r="D742"/>
  <c r="D742" i="27"/>
  <c r="D1114" s="1"/>
  <c r="D1300" s="1"/>
  <c r="E370" s="1"/>
  <c r="D1098"/>
  <c r="D1284" s="1"/>
  <c r="E354" s="1"/>
  <c r="D1019"/>
  <c r="D1205" s="1"/>
  <c r="E275" s="1"/>
  <c r="D1008"/>
  <c r="D1194" s="1"/>
  <c r="E264" s="1"/>
  <c r="E1008" s="1"/>
  <c r="D1002"/>
  <c r="D1188" s="1"/>
  <c r="E258" s="1"/>
  <c r="E1002" s="1"/>
  <c r="D1119"/>
  <c r="D1305" s="1"/>
  <c r="E375" s="1"/>
  <c r="D1069"/>
  <c r="D1255" s="1"/>
  <c r="E325" s="1"/>
  <c r="D1033"/>
  <c r="D1219" s="1"/>
  <c r="E289" s="1"/>
  <c r="D1024"/>
  <c r="D1210" s="1"/>
  <c r="E280" s="1"/>
  <c r="E1024" s="1"/>
  <c r="D999"/>
  <c r="D1185" s="1"/>
  <c r="E255" s="1"/>
  <c r="D951"/>
  <c r="D754"/>
  <c r="D1126" s="1"/>
  <c r="D1312" s="1"/>
  <c r="E382" s="1"/>
  <c r="D754" i="9"/>
  <c r="D1123" i="27"/>
  <c r="D1309" s="1"/>
  <c r="E379" s="1"/>
  <c r="D1111"/>
  <c r="D1297" s="1"/>
  <c r="E367" s="1"/>
  <c r="D1089"/>
  <c r="D1275" s="1"/>
  <c r="E345" s="1"/>
  <c r="D1035"/>
  <c r="D1221" s="1"/>
  <c r="E291" s="1"/>
  <c r="D977"/>
  <c r="D1163" s="1"/>
  <c r="E233" s="1"/>
  <c r="D969"/>
  <c r="D1155" s="1"/>
  <c r="E225" s="1"/>
  <c r="D964"/>
  <c r="D1150" s="1"/>
  <c r="E220" s="1"/>
  <c r="D1094"/>
  <c r="D1280" s="1"/>
  <c r="E350" s="1"/>
  <c r="D1073"/>
  <c r="D1259" s="1"/>
  <c r="E329" s="1"/>
  <c r="D1006"/>
  <c r="D1192" s="1"/>
  <c r="E262" s="1"/>
  <c r="E32" i="23"/>
  <c r="D134" i="29"/>
  <c r="D158" s="1"/>
  <c r="E62" s="1"/>
  <c r="D118"/>
  <c r="D142" s="1"/>
  <c r="D1102" i="27"/>
  <c r="D1288" s="1"/>
  <c r="E358" s="1"/>
  <c r="D1100"/>
  <c r="D1286" s="1"/>
  <c r="E356" s="1"/>
  <c r="D1059"/>
  <c r="D1245" s="1"/>
  <c r="E315" s="1"/>
  <c r="D1037"/>
  <c r="D1223" s="1"/>
  <c r="E293" s="1"/>
  <c r="D1001"/>
  <c r="D1187" s="1"/>
  <c r="E257" s="1"/>
  <c r="D756" i="9"/>
  <c r="D746" i="27"/>
  <c r="D1118" s="1"/>
  <c r="D1304" s="1"/>
  <c r="E374" s="1"/>
  <c r="D746" i="9"/>
  <c r="D740"/>
  <c r="D1127" i="27"/>
  <c r="D1313" s="1"/>
  <c r="E383" s="1"/>
  <c r="E1127" s="1"/>
  <c r="D1099"/>
  <c r="D1285" s="1"/>
  <c r="E355" s="1"/>
  <c r="D1050"/>
  <c r="D1236" s="1"/>
  <c r="E306" s="1"/>
  <c r="D1023"/>
  <c r="D1003"/>
  <c r="D1189" s="1"/>
  <c r="E259" s="1"/>
  <c r="E1003" s="1"/>
  <c r="D981"/>
  <c r="D1167" s="1"/>
  <c r="E237" s="1"/>
  <c r="D973"/>
  <c r="D1159" s="1"/>
  <c r="E229" s="1"/>
  <c r="E8" i="40"/>
  <c r="E52" i="43"/>
  <c r="F25" i="36"/>
  <c r="E37" i="43"/>
  <c r="D1052" i="27"/>
  <c r="D1238" s="1"/>
  <c r="E308" s="1"/>
  <c r="D1041"/>
  <c r="D1227" s="1"/>
  <c r="E297" s="1"/>
  <c r="D1020"/>
  <c r="D1206" s="1"/>
  <c r="E276" s="1"/>
  <c r="H12" i="2"/>
  <c r="D1133" i="27"/>
  <c r="D1319" s="1"/>
  <c r="E389" s="1"/>
  <c r="D1065"/>
  <c r="D1251" s="1"/>
  <c r="E321" s="1"/>
  <c r="D1054"/>
  <c r="D1240" s="1"/>
  <c r="E310" s="1"/>
  <c r="D1027"/>
  <c r="D1213" s="1"/>
  <c r="E283" s="1"/>
  <c r="D1025"/>
  <c r="D1211" s="1"/>
  <c r="E281" s="1"/>
  <c r="D967"/>
  <c r="D1153" s="1"/>
  <c r="E223" s="1"/>
  <c r="E9" i="40"/>
  <c r="E7"/>
  <c r="E10" i="23" s="1"/>
  <c r="G12" i="2"/>
  <c r="G17" i="43"/>
  <c r="E13" i="2"/>
  <c r="F12"/>
  <c r="F6" i="23"/>
  <c r="E34" i="43"/>
  <c r="F29" s="1"/>
  <c r="I10" i="2"/>
  <c r="F8"/>
  <c r="I11"/>
  <c r="G8"/>
  <c r="H11"/>
  <c r="I12"/>
  <c r="H8"/>
  <c r="E10"/>
  <c r="E8"/>
  <c r="E9"/>
  <c r="E103" s="1"/>
  <c r="E104" s="1"/>
  <c r="F102" s="1"/>
  <c r="F11"/>
  <c r="G10"/>
  <c r="E11"/>
  <c r="E12"/>
  <c r="F10"/>
  <c r="H12" i="35" l="1"/>
  <c r="I12" i="4"/>
  <c r="D26" s="1"/>
  <c r="H7" i="36"/>
  <c r="D59" i="4"/>
  <c r="I12" i="35"/>
  <c r="D24" s="1"/>
  <c r="H12" i="44"/>
  <c r="E104" i="33"/>
  <c r="E122" s="1"/>
  <c r="F50" s="1"/>
  <c r="F103" i="2"/>
  <c r="F104" s="1"/>
  <c r="G102" s="1"/>
  <c r="H958" i="27"/>
  <c r="H1144"/>
  <c r="F985" i="34"/>
  <c r="F1152" s="1"/>
  <c r="G317" s="1"/>
  <c r="F887"/>
  <c r="F1054" s="1"/>
  <c r="G219" s="1"/>
  <c r="E870"/>
  <c r="E1037" s="1"/>
  <c r="F202" s="1"/>
  <c r="F1006"/>
  <c r="F1173" s="1"/>
  <c r="G338" s="1"/>
  <c r="G1125"/>
  <c r="H290" s="1"/>
  <c r="G1091"/>
  <c r="H256" s="1"/>
  <c r="G924"/>
  <c r="F1176" i="27"/>
  <c r="G246" s="1"/>
  <c r="F990"/>
  <c r="H1122"/>
  <c r="H1308"/>
  <c r="E884" i="34"/>
  <c r="E1051" s="1"/>
  <c r="F216" s="1"/>
  <c r="F939"/>
  <c r="F1106"/>
  <c r="G271" s="1"/>
  <c r="G942"/>
  <c r="G1109" s="1"/>
  <c r="H274" s="1"/>
  <c r="E891"/>
  <c r="E1058" s="1"/>
  <c r="F223" s="1"/>
  <c r="F889"/>
  <c r="F1056" s="1"/>
  <c r="G221" s="1"/>
  <c r="F867"/>
  <c r="F1034"/>
  <c r="G199" s="1"/>
  <c r="F33" i="44"/>
  <c r="F34"/>
  <c r="G29" s="1"/>
  <c r="F935" i="34"/>
  <c r="F1102"/>
  <c r="G267" s="1"/>
  <c r="E1126" i="27"/>
  <c r="E1312"/>
  <c r="F382" s="1"/>
  <c r="G125" i="29"/>
  <c r="G149"/>
  <c r="H53" s="1"/>
  <c r="F1014" i="34"/>
  <c r="F1181" s="1"/>
  <c r="G346" s="1"/>
  <c r="F953"/>
  <c r="F1120" s="1"/>
  <c r="G285" s="1"/>
  <c r="G934"/>
  <c r="G1101" s="1"/>
  <c r="H266" s="1"/>
  <c r="F1021" i="27"/>
  <c r="F1207"/>
  <c r="G277" s="1"/>
  <c r="G1115"/>
  <c r="G1301" s="1"/>
  <c r="H371" s="1"/>
  <c r="F106" i="39"/>
  <c r="F149" s="1"/>
  <c r="E107"/>
  <c r="E150" s="1"/>
  <c r="F107"/>
  <c r="F150" s="1"/>
  <c r="F1106" i="27"/>
  <c r="F1292" s="1"/>
  <c r="G362" s="1"/>
  <c r="E1118"/>
  <c r="E1304"/>
  <c r="F374" s="1"/>
  <c r="F1013"/>
  <c r="F1199" s="1"/>
  <c r="G269" s="1"/>
  <c r="F923" i="34"/>
  <c r="F1090" s="1"/>
  <c r="G255" s="1"/>
  <c r="E897"/>
  <c r="E1064"/>
  <c r="F229" s="1"/>
  <c r="H1130" i="27"/>
  <c r="H1316"/>
  <c r="F1094" i="34"/>
  <c r="G259" s="1"/>
  <c r="E114" i="33"/>
  <c r="F42" s="1"/>
  <c r="E96"/>
  <c r="E907" i="34"/>
  <c r="E1074" s="1"/>
  <c r="F239" s="1"/>
  <c r="G874"/>
  <c r="G1041" s="1"/>
  <c r="H206" s="1"/>
  <c r="F905"/>
  <c r="F1072" s="1"/>
  <c r="G237" s="1"/>
  <c r="F1167"/>
  <c r="G332" s="1"/>
  <c r="F1000"/>
  <c r="F971"/>
  <c r="F1138" s="1"/>
  <c r="G303" s="1"/>
  <c r="F995"/>
  <c r="F1162" s="1"/>
  <c r="G327" s="1"/>
  <c r="H895"/>
  <c r="H1062"/>
  <c r="E138" i="39"/>
  <c r="E181" s="1"/>
  <c r="F138"/>
  <c r="F181" s="1"/>
  <c r="E1114" i="27"/>
  <c r="E1300"/>
  <c r="F370" s="1"/>
  <c r="G1014"/>
  <c r="G1200"/>
  <c r="H270" s="1"/>
  <c r="E886" i="34"/>
  <c r="E1053" s="1"/>
  <c r="F218" s="1"/>
  <c r="F976" i="27"/>
  <c r="F1162" s="1"/>
  <c r="G232" s="1"/>
  <c r="G991"/>
  <c r="G1177" s="1"/>
  <c r="H247" s="1"/>
  <c r="G117" i="29"/>
  <c r="G141" s="1"/>
  <c r="H45" s="1"/>
  <c r="G966" i="27"/>
  <c r="G1152" s="1"/>
  <c r="H222" s="1"/>
  <c r="F931" i="34"/>
  <c r="F1098" s="1"/>
  <c r="G263" s="1"/>
  <c r="F857"/>
  <c r="F1024" s="1"/>
  <c r="G189" s="1"/>
  <c r="F922"/>
  <c r="F1089" s="1"/>
  <c r="G254" s="1"/>
  <c r="H10" i="43"/>
  <c r="H10" i="4"/>
  <c r="H10" i="35"/>
  <c r="H10" i="42"/>
  <c r="H10" i="44"/>
  <c r="E969" i="27"/>
  <c r="E1155"/>
  <c r="F225" s="1"/>
  <c r="G37" i="3"/>
  <c r="F1109" i="27"/>
  <c r="G179"/>
  <c r="H27" i="3"/>
  <c r="G133" i="29"/>
  <c r="G157" s="1"/>
  <c r="H61" s="1"/>
  <c r="F883" i="34"/>
  <c r="F1050"/>
  <c r="G215" s="1"/>
  <c r="G89" i="32"/>
  <c r="H94" i="34"/>
  <c r="F899"/>
  <c r="F1066" s="1"/>
  <c r="G231" s="1"/>
  <c r="E1023" i="27"/>
  <c r="E1209"/>
  <c r="F279" s="1"/>
  <c r="E134" i="29"/>
  <c r="E158" s="1"/>
  <c r="F62" s="1"/>
  <c r="E1094" i="27"/>
  <c r="E1280"/>
  <c r="F350" s="1"/>
  <c r="F1066"/>
  <c r="F1252" s="1"/>
  <c r="G322" s="1"/>
  <c r="G109" i="9"/>
  <c r="G1293" i="27"/>
  <c r="H363" s="1"/>
  <c r="H159" i="9"/>
  <c r="E888" i="34"/>
  <c r="E1055" s="1"/>
  <c r="F220" s="1"/>
  <c r="G1039" i="27"/>
  <c r="G1225" s="1"/>
  <c r="H295" s="1"/>
  <c r="H109"/>
  <c r="H1039" s="1"/>
  <c r="F944" i="34"/>
  <c r="F1111"/>
  <c r="G276" s="1"/>
  <c r="F941"/>
  <c r="F1108"/>
  <c r="G273" s="1"/>
  <c r="E911"/>
  <c r="E1078" s="1"/>
  <c r="F243" s="1"/>
  <c r="G105" i="32"/>
  <c r="G34" i="33"/>
  <c r="G1079" i="34"/>
  <c r="H244" s="1"/>
  <c r="G912"/>
  <c r="H184"/>
  <c r="H1018" s="1"/>
  <c r="G1018"/>
  <c r="G160" i="32"/>
  <c r="F93"/>
  <c r="H154"/>
  <c r="F869" i="34"/>
  <c r="F1036" s="1"/>
  <c r="G201" s="1"/>
  <c r="G35"/>
  <c r="I17" i="44"/>
  <c r="E60" i="42"/>
  <c r="E49"/>
  <c r="H926" i="34"/>
  <c r="H1093"/>
  <c r="E140" i="38"/>
  <c r="E183" s="1"/>
  <c r="F139" i="39"/>
  <c r="F182" s="1"/>
  <c r="E14" i="23"/>
  <c r="E12" s="1"/>
  <c r="E1187" i="27"/>
  <c r="F257" s="1"/>
  <c r="E1035"/>
  <c r="E1221"/>
  <c r="F291" s="1"/>
  <c r="E1318"/>
  <c r="F388" s="1"/>
  <c r="G965"/>
  <c r="G1151" s="1"/>
  <c r="H221" s="1"/>
  <c r="F1198"/>
  <c r="G268" s="1"/>
  <c r="F1012"/>
  <c r="C11" i="46"/>
  <c r="D9" s="1"/>
  <c r="E9"/>
  <c r="O187" i="26" s="1"/>
  <c r="F1127" i="27"/>
  <c r="G197"/>
  <c r="E904" i="34"/>
  <c r="E1071"/>
  <c r="F236" s="1"/>
  <c r="H24" i="9"/>
  <c r="F152" i="32"/>
  <c r="D855" i="34"/>
  <c r="E21"/>
  <c r="E1067"/>
  <c r="F232" s="1"/>
  <c r="F116" i="32"/>
  <c r="F72"/>
  <c r="E1142" i="34"/>
  <c r="F307" s="1"/>
  <c r="E1001"/>
  <c r="E1168"/>
  <c r="F333" s="1"/>
  <c r="E1017"/>
  <c r="E1184" s="1"/>
  <c r="F349" s="1"/>
  <c r="E915"/>
  <c r="E1082"/>
  <c r="F247" s="1"/>
  <c r="E947"/>
  <c r="E1114"/>
  <c r="F279" s="1"/>
  <c r="F26" i="31"/>
  <c r="G75" i="34"/>
  <c r="E997"/>
  <c r="E1164" s="1"/>
  <c r="F329" s="1"/>
  <c r="E1076"/>
  <c r="F241" s="1"/>
  <c r="F914"/>
  <c r="F1081"/>
  <c r="G246" s="1"/>
  <c r="F36" i="32"/>
  <c r="G1185" i="34"/>
  <c r="H350" s="1"/>
  <c r="G183" i="32"/>
  <c r="G68" i="34"/>
  <c r="F992"/>
  <c r="F1159" s="1"/>
  <c r="G324" s="1"/>
  <c r="G158"/>
  <c r="H44" i="32"/>
  <c r="G87" i="34"/>
  <c r="G69" i="32"/>
  <c r="H126"/>
  <c r="G26" i="33"/>
  <c r="I13" i="23"/>
  <c r="I11" s="1"/>
  <c r="I62" i="2"/>
  <c r="F13" i="23"/>
  <c r="F11" s="1"/>
  <c r="F62" i="2"/>
  <c r="F63" s="1"/>
  <c r="F64" s="1"/>
  <c r="F69" s="1"/>
  <c r="E1038" i="27"/>
  <c r="F108"/>
  <c r="G66" i="34"/>
  <c r="G171" i="32"/>
  <c r="H89" i="34"/>
  <c r="H171"/>
  <c r="E1212" i="27"/>
  <c r="F282" s="1"/>
  <c r="G43" i="34"/>
  <c r="H62" i="32"/>
  <c r="H39" i="34"/>
  <c r="G873"/>
  <c r="H1123"/>
  <c r="F111" i="33"/>
  <c r="G39" s="1"/>
  <c r="F130" i="39"/>
  <c r="F173" s="1"/>
  <c r="F133"/>
  <c r="F176" s="1"/>
  <c r="F131"/>
  <c r="F174" s="1"/>
  <c r="H12" i="42"/>
  <c r="F132" i="39"/>
  <c r="F175" s="1"/>
  <c r="E126"/>
  <c r="E169" s="1"/>
  <c r="E146" i="38"/>
  <c r="E189" s="1"/>
  <c r="D85" i="39"/>
  <c r="J57" i="20"/>
  <c r="E141" i="39"/>
  <c r="E184" s="1"/>
  <c r="F115" i="38"/>
  <c r="F158" s="1"/>
  <c r="E112"/>
  <c r="E155" s="1"/>
  <c r="F130"/>
  <c r="F173" s="1"/>
  <c r="F140"/>
  <c r="F183" s="1"/>
  <c r="F121"/>
  <c r="F164" s="1"/>
  <c r="E66" i="39"/>
  <c r="F139" i="38"/>
  <c r="F182" s="1"/>
  <c r="E120" i="39"/>
  <c r="E163" s="1"/>
  <c r="F144"/>
  <c r="F187" s="1"/>
  <c r="I7" i="36"/>
  <c r="I7" i="23"/>
  <c r="E10" i="43"/>
  <c r="E10" i="4"/>
  <c r="E10" i="35"/>
  <c r="E10" i="42"/>
  <c r="E10" i="44"/>
  <c r="H6" i="43"/>
  <c r="G6" i="9"/>
  <c r="G6" i="3"/>
  <c r="G6" i="32"/>
  <c r="G6" i="31"/>
  <c r="H6" i="44"/>
  <c r="G6" i="27"/>
  <c r="H6" i="4"/>
  <c r="H6" i="35"/>
  <c r="G6" i="29"/>
  <c r="G6" i="34"/>
  <c r="H6" i="42"/>
  <c r="G6" i="33"/>
  <c r="F26" i="23"/>
  <c r="F31" s="1"/>
  <c r="F25"/>
  <c r="F30" s="1"/>
  <c r="F27"/>
  <c r="E1025" i="27"/>
  <c r="E1211" s="1"/>
  <c r="F281" s="1"/>
  <c r="E1052"/>
  <c r="E1238"/>
  <c r="F308" s="1"/>
  <c r="E56" i="43"/>
  <c r="E1223" i="27"/>
  <c r="F293" s="1"/>
  <c r="D762" i="9"/>
  <c r="E1089" i="27"/>
  <c r="E1275"/>
  <c r="F345" s="1"/>
  <c r="F1237"/>
  <c r="G307" s="1"/>
  <c r="F1202"/>
  <c r="G272" s="1"/>
  <c r="F1016"/>
  <c r="F1246"/>
  <c r="G316" s="1"/>
  <c r="F994"/>
  <c r="F1180"/>
  <c r="G250" s="1"/>
  <c r="E1099"/>
  <c r="E1285" s="1"/>
  <c r="F355" s="1"/>
  <c r="F43" i="9"/>
  <c r="F148" i="29"/>
  <c r="G52" s="1"/>
  <c r="F968" i="27"/>
  <c r="F1154"/>
  <c r="G224" s="1"/>
  <c r="F975"/>
  <c r="G1171"/>
  <c r="H241" s="1"/>
  <c r="F11" i="9"/>
  <c r="G103" i="41" s="1"/>
  <c r="G90"/>
  <c r="G91" s="1"/>
  <c r="G1298" i="27"/>
  <c r="H368" s="1"/>
  <c r="F1273"/>
  <c r="G343" s="1"/>
  <c r="G185" i="9"/>
  <c r="H1022" i="27"/>
  <c r="H1208" s="1"/>
  <c r="H23" i="3"/>
  <c r="H183" i="9"/>
  <c r="H190"/>
  <c r="C6" i="46"/>
  <c r="D4" s="1"/>
  <c r="H119" i="29"/>
  <c r="H143" s="1"/>
  <c r="E1043" i="34"/>
  <c r="F208" s="1"/>
  <c r="E876"/>
  <c r="H37" i="29"/>
  <c r="E984" i="34"/>
  <c r="E1151" s="1"/>
  <c r="F316" s="1"/>
  <c r="F150"/>
  <c r="D107" i="33"/>
  <c r="D13" s="1"/>
  <c r="E948" i="34"/>
  <c r="E1115" s="1"/>
  <c r="F280" s="1"/>
  <c r="F114"/>
  <c r="E1144"/>
  <c r="F309" s="1"/>
  <c r="E1170"/>
  <c r="F335" s="1"/>
  <c r="D110" i="33"/>
  <c r="E919" i="34"/>
  <c r="E1086" s="1"/>
  <c r="F251" s="1"/>
  <c r="E951"/>
  <c r="E1118" s="1"/>
  <c r="F283" s="1"/>
  <c r="F1133"/>
  <c r="G298" s="1"/>
  <c r="F1012"/>
  <c r="F1179"/>
  <c r="G344" s="1"/>
  <c r="E909"/>
  <c r="G165"/>
  <c r="E105" i="33"/>
  <c r="F35"/>
  <c r="F1008" i="34"/>
  <c r="F1175" s="1"/>
  <c r="G340" s="1"/>
  <c r="F917"/>
  <c r="F1084"/>
  <c r="G249" s="1"/>
  <c r="E868"/>
  <c r="E1035" s="1"/>
  <c r="F200" s="1"/>
  <c r="F34"/>
  <c r="G157" i="32"/>
  <c r="H51" i="34"/>
  <c r="H106" i="32"/>
  <c r="F29" i="36"/>
  <c r="F54"/>
  <c r="I14" i="23"/>
  <c r="I12" s="1"/>
  <c r="F14"/>
  <c r="F12" s="1"/>
  <c r="E1224" i="27"/>
  <c r="F294" s="1"/>
  <c r="E1044" i="34"/>
  <c r="F209" s="1"/>
  <c r="E900"/>
  <c r="H162" i="32"/>
  <c r="G155" i="34"/>
  <c r="G45" i="32"/>
  <c r="F116" i="39"/>
  <c r="F159" s="1"/>
  <c r="D99"/>
  <c r="E142" s="1"/>
  <c r="E185" s="1"/>
  <c r="D87"/>
  <c r="H163" i="34"/>
  <c r="E127" i="39"/>
  <c r="E170" s="1"/>
  <c r="F106" i="38"/>
  <c r="F149" s="1"/>
  <c r="E136"/>
  <c r="E179" s="1"/>
  <c r="E125"/>
  <c r="E168" s="1"/>
  <c r="E122"/>
  <c r="E165" s="1"/>
  <c r="E113"/>
  <c r="E156" s="1"/>
  <c r="F133"/>
  <c r="F176" s="1"/>
  <c r="F145"/>
  <c r="F188" s="1"/>
  <c r="F138"/>
  <c r="F181" s="1"/>
  <c r="E100" i="39"/>
  <c r="E143" s="1"/>
  <c r="E186" s="1"/>
  <c r="F126" i="29"/>
  <c r="F150" s="1"/>
  <c r="G54" s="1"/>
  <c r="G32"/>
  <c r="G1060" i="27"/>
  <c r="H130"/>
  <c r="E991" i="34"/>
  <c r="E1158" s="1"/>
  <c r="F323" s="1"/>
  <c r="E1048"/>
  <c r="F213" s="1"/>
  <c r="E29" i="36"/>
  <c r="E54"/>
  <c r="H117" i="32"/>
  <c r="H30" i="38"/>
  <c r="H60"/>
  <c r="H32"/>
  <c r="H36"/>
  <c r="H57"/>
  <c r="H45"/>
  <c r="H35"/>
  <c r="H23"/>
  <c r="H28"/>
  <c r="H40"/>
  <c r="H26"/>
  <c r="H51"/>
  <c r="H46"/>
  <c r="H31"/>
  <c r="H20"/>
  <c r="H58"/>
  <c r="H52"/>
  <c r="H47"/>
  <c r="H27"/>
  <c r="H21"/>
  <c r="H49"/>
  <c r="H41"/>
  <c r="H54"/>
  <c r="H43"/>
  <c r="H59"/>
  <c r="H38"/>
  <c r="H37"/>
  <c r="H34"/>
  <c r="H29"/>
  <c r="H24"/>
  <c r="H55"/>
  <c r="H44"/>
  <c r="H56"/>
  <c r="H48"/>
  <c r="H50"/>
  <c r="H22"/>
  <c r="H53"/>
  <c r="H39"/>
  <c r="H42"/>
  <c r="H33"/>
  <c r="H25"/>
  <c r="I9"/>
  <c r="E123" i="39"/>
  <c r="E166" s="1"/>
  <c r="E8" i="43"/>
  <c r="E9" i="4"/>
  <c r="E9" i="35"/>
  <c r="E8" i="44"/>
  <c r="E8" i="42"/>
  <c r="E977" i="27"/>
  <c r="E1163" s="1"/>
  <c r="F233" s="1"/>
  <c r="D962"/>
  <c r="D1148" s="1"/>
  <c r="E218" s="1"/>
  <c r="E32"/>
  <c r="E1132"/>
  <c r="F202"/>
  <c r="F1132" s="1"/>
  <c r="G103"/>
  <c r="F1068"/>
  <c r="F1254" s="1"/>
  <c r="G324" s="1"/>
  <c r="G161" i="9"/>
  <c r="F1295" i="27"/>
  <c r="G365" s="1"/>
  <c r="E23" i="32"/>
  <c r="E1023" i="34"/>
  <c r="F188" s="1"/>
  <c r="H132" i="9"/>
  <c r="H179" i="34"/>
  <c r="G13" i="23"/>
  <c r="G11" s="1"/>
  <c r="G62" i="2"/>
  <c r="F137" i="32"/>
  <c r="F8" i="43"/>
  <c r="F9" i="4"/>
  <c r="F9" i="35"/>
  <c r="F8" i="42"/>
  <c r="F8" i="44"/>
  <c r="F1239" i="27"/>
  <c r="G309" s="1"/>
  <c r="F1088"/>
  <c r="G158"/>
  <c r="H128" i="29"/>
  <c r="H152"/>
  <c r="E9" i="43"/>
  <c r="E8" i="4"/>
  <c r="E9" i="44"/>
  <c r="E9" i="42"/>
  <c r="E8" i="35"/>
  <c r="E1313" i="27"/>
  <c r="F383" s="1"/>
  <c r="E1232"/>
  <c r="F302" s="1"/>
  <c r="F176" i="9"/>
  <c r="G1070" i="27"/>
  <c r="G1256"/>
  <c r="H326" s="1"/>
  <c r="F1077"/>
  <c r="G147"/>
  <c r="G1170"/>
  <c r="H240" s="1"/>
  <c r="E858" i="34"/>
  <c r="E1025" s="1"/>
  <c r="F190" s="1"/>
  <c r="F1160"/>
  <c r="G325" s="1"/>
  <c r="E1005"/>
  <c r="E1172"/>
  <c r="F337" s="1"/>
  <c r="E1088"/>
  <c r="F253" s="1"/>
  <c r="E123" i="33"/>
  <c r="F51" s="1"/>
  <c r="D954" i="34"/>
  <c r="D1121" s="1"/>
  <c r="E286" s="1"/>
  <c r="E120"/>
  <c r="H175"/>
  <c r="F30" i="36"/>
  <c r="F55"/>
  <c r="G1068" i="34"/>
  <c r="H233" s="1"/>
  <c r="F116" i="38"/>
  <c r="F159" s="1"/>
  <c r="E106"/>
  <c r="E149" s="1"/>
  <c r="F127"/>
  <c r="F170" s="1"/>
  <c r="E1309" i="27"/>
  <c r="F379" s="1"/>
  <c r="E1120"/>
  <c r="E1306" s="1"/>
  <c r="F376" s="1"/>
  <c r="F1071"/>
  <c r="F1257" s="1"/>
  <c r="G327" s="1"/>
  <c r="F1045"/>
  <c r="G115"/>
  <c r="F1053"/>
  <c r="F1263"/>
  <c r="G333" s="1"/>
  <c r="F1247"/>
  <c r="G317" s="1"/>
  <c r="H101" i="9"/>
  <c r="H166"/>
  <c r="E1039" i="34"/>
  <c r="F204" s="1"/>
  <c r="F885"/>
  <c r="F1052"/>
  <c r="G217" s="1"/>
  <c r="G885" s="1"/>
  <c r="F1030"/>
  <c r="G195" s="1"/>
  <c r="E940"/>
  <c r="E1107" s="1"/>
  <c r="F272" s="1"/>
  <c r="F106"/>
  <c r="F1016"/>
  <c r="F1183" s="1"/>
  <c r="G348" s="1"/>
  <c r="E890"/>
  <c r="E1057" s="1"/>
  <c r="F222" s="1"/>
  <c r="F132" i="32"/>
  <c r="E981" i="34"/>
  <c r="E1148" s="1"/>
  <c r="F313" s="1"/>
  <c r="E1174"/>
  <c r="F339" s="1"/>
  <c r="F88" i="32"/>
  <c r="E1092" i="34"/>
  <c r="F257" s="1"/>
  <c r="E120" i="33"/>
  <c r="F48" s="1"/>
  <c r="F983" i="34"/>
  <c r="F1150"/>
  <c r="G315" s="1"/>
  <c r="F30"/>
  <c r="E864"/>
  <c r="E1031" s="1"/>
  <c r="F196" s="1"/>
  <c r="F936"/>
  <c r="F1103" s="1"/>
  <c r="G268" s="1"/>
  <c r="G958"/>
  <c r="H124"/>
  <c r="F1063"/>
  <c r="G228" s="1"/>
  <c r="H63"/>
  <c r="E122" i="32"/>
  <c r="F990" i="34"/>
  <c r="F1157"/>
  <c r="G322" s="1"/>
  <c r="H44"/>
  <c r="G121" i="33"/>
  <c r="H49" s="1"/>
  <c r="G103"/>
  <c r="E28" i="32"/>
  <c r="G1040" i="34"/>
  <c r="H205" s="1"/>
  <c r="F136" i="32"/>
  <c r="F927" i="34"/>
  <c r="G93"/>
  <c r="H182" i="32"/>
  <c r="G27" i="34"/>
  <c r="H1004" i="27"/>
  <c r="H1190" s="1"/>
  <c r="F949" i="34"/>
  <c r="F1116" s="1"/>
  <c r="G281" s="1"/>
  <c r="H138" i="32"/>
  <c r="E92" i="39"/>
  <c r="E135" s="1"/>
  <c r="E178" s="1"/>
  <c r="B137"/>
  <c r="B180" s="1"/>
  <c r="D94"/>
  <c r="E137" s="1"/>
  <c r="E180" s="1"/>
  <c r="G1171" i="34"/>
  <c r="H336" s="1"/>
  <c r="F103" i="39"/>
  <c r="F146" s="1"/>
  <c r="F189" s="1"/>
  <c r="F119"/>
  <c r="F162" s="1"/>
  <c r="I28" i="44"/>
  <c r="F71" i="39"/>
  <c r="F114" s="1"/>
  <c r="F157" s="1"/>
  <c r="E131" i="38"/>
  <c r="E174" s="1"/>
  <c r="E116" i="39"/>
  <c r="E159" s="1"/>
  <c r="E103"/>
  <c r="E146" s="1"/>
  <c r="E189" s="1"/>
  <c r="G186" i="26"/>
  <c r="N186"/>
  <c r="E145" i="38"/>
  <c r="E188" s="1"/>
  <c r="E117"/>
  <c r="E160" s="1"/>
  <c r="F108" i="39"/>
  <c r="F151" s="1"/>
  <c r="F111" i="38"/>
  <c r="F154" s="1"/>
  <c r="F117"/>
  <c r="F160" s="1"/>
  <c r="F137"/>
  <c r="F180" s="1"/>
  <c r="E86" i="39"/>
  <c r="E129" s="1"/>
  <c r="E172" s="1"/>
  <c r="I33" i="41"/>
  <c r="I56"/>
  <c r="I57" s="1"/>
  <c r="E140" i="39"/>
  <c r="E183" s="1"/>
  <c r="E125"/>
  <c r="E168" s="1"/>
  <c r="E136"/>
  <c r="E179" s="1"/>
  <c r="G972" i="34"/>
  <c r="G1139" s="1"/>
  <c r="H304" s="1"/>
  <c r="E6" i="43"/>
  <c r="E21" s="1"/>
  <c r="D6" i="9"/>
  <c r="D926" s="1"/>
  <c r="D6" i="3"/>
  <c r="D6" i="31"/>
  <c r="D6" i="32"/>
  <c r="E6" i="42"/>
  <c r="E21" s="1"/>
  <c r="E6" i="44"/>
  <c r="E21" s="1"/>
  <c r="D6" i="27"/>
  <c r="D6" i="33"/>
  <c r="D6" i="34"/>
  <c r="D6" i="29"/>
  <c r="E6" i="35"/>
  <c r="E6" i="4"/>
  <c r="E1189" i="27"/>
  <c r="F259" s="1"/>
  <c r="E1219"/>
  <c r="F289" s="1"/>
  <c r="E138" i="9"/>
  <c r="E188"/>
  <c r="F1029" i="27"/>
  <c r="F1215" s="1"/>
  <c r="G285" s="1"/>
  <c r="F1270"/>
  <c r="G340" s="1"/>
  <c r="F980"/>
  <c r="F1166" s="1"/>
  <c r="G236" s="1"/>
  <c r="F1007"/>
  <c r="F1193" s="1"/>
  <c r="G263" s="1"/>
  <c r="G1281"/>
  <c r="H351" s="1"/>
  <c r="G998"/>
  <c r="G1184" s="1"/>
  <c r="H254" s="1"/>
  <c r="H68"/>
  <c r="H998" s="1"/>
  <c r="G1125"/>
  <c r="G1311" s="1"/>
  <c r="H381" s="1"/>
  <c r="H195"/>
  <c r="H110" i="9"/>
  <c r="E937" i="34"/>
  <c r="E1104" s="1"/>
  <c r="F269" s="1"/>
  <c r="F1099"/>
  <c r="G264" s="1"/>
  <c r="G932" s="1"/>
  <c r="G77"/>
  <c r="F170" i="32"/>
  <c r="G77"/>
  <c r="F946" i="34"/>
  <c r="F1113" s="1"/>
  <c r="G278" s="1"/>
  <c r="G112"/>
  <c r="G178" i="32"/>
  <c r="G14" i="23"/>
  <c r="G12" s="1"/>
  <c r="H120" i="32"/>
  <c r="G1010" i="34"/>
  <c r="G1177" s="1"/>
  <c r="H342" s="1"/>
  <c r="H176"/>
  <c r="G37" i="32"/>
  <c r="E71" i="42"/>
  <c r="F120" i="38"/>
  <c r="F163" s="1"/>
  <c r="E35" i="23"/>
  <c r="E64"/>
  <c r="D1067" i="27"/>
  <c r="D1253" s="1"/>
  <c r="E323" s="1"/>
  <c r="E137"/>
  <c r="D1117"/>
  <c r="D1303" s="1"/>
  <c r="E373" s="1"/>
  <c r="E187"/>
  <c r="H1248"/>
  <c r="G135" i="29"/>
  <c r="G159" s="1"/>
  <c r="H63" s="1"/>
  <c r="E894" i="34"/>
  <c r="E1061"/>
  <c r="F226" s="1"/>
  <c r="E1140"/>
  <c r="F305" s="1"/>
  <c r="E1182"/>
  <c r="F347" s="1"/>
  <c r="E881"/>
  <c r="E893"/>
  <c r="E1060" s="1"/>
  <c r="F225" s="1"/>
  <c r="G79" i="32"/>
  <c r="F117" i="9"/>
  <c r="G974" i="34"/>
  <c r="G1141" s="1"/>
  <c r="H306" s="1"/>
  <c r="H140"/>
  <c r="F85" i="39"/>
  <c r="F108" i="38"/>
  <c r="F151" s="1"/>
  <c r="E85" i="39"/>
  <c r="E1236" i="27"/>
  <c r="F306" s="1"/>
  <c r="F1226"/>
  <c r="G296" s="1"/>
  <c r="F1283"/>
  <c r="G353" s="1"/>
  <c r="E1033"/>
  <c r="F1087"/>
  <c r="G157"/>
  <c r="G1287"/>
  <c r="H357" s="1"/>
  <c r="F10" i="43"/>
  <c r="F10" i="4"/>
  <c r="F10" i="35"/>
  <c r="F10" i="44"/>
  <c r="F10" i="42"/>
  <c r="E1059" i="27"/>
  <c r="E1245"/>
  <c r="F315" s="1"/>
  <c r="F32" i="23"/>
  <c r="E1031" i="27"/>
  <c r="E1217"/>
  <c r="F287" s="1"/>
  <c r="F1242"/>
  <c r="G312" s="1"/>
  <c r="E1046"/>
  <c r="F1005"/>
  <c r="F1191" s="1"/>
  <c r="G261" s="1"/>
  <c r="G26" i="23"/>
  <c r="G25"/>
  <c r="G27"/>
  <c r="G55"/>
  <c r="G60" s="1"/>
  <c r="G56"/>
  <c r="G61" s="1"/>
  <c r="G54"/>
  <c r="G59" s="1"/>
  <c r="F82" i="9"/>
  <c r="F1092" i="27"/>
  <c r="F1278"/>
  <c r="G348" s="1"/>
  <c r="E1041"/>
  <c r="E1227" s="1"/>
  <c r="F297" s="1"/>
  <c r="F1085"/>
  <c r="F1271" s="1"/>
  <c r="G341" s="1"/>
  <c r="E892" i="34"/>
  <c r="E1059" s="1"/>
  <c r="F224" s="1"/>
  <c r="H100" i="27"/>
  <c r="H1082"/>
  <c r="H1268" s="1"/>
  <c r="F1122" i="34"/>
  <c r="G287" s="1"/>
  <c r="E1126"/>
  <c r="F291" s="1"/>
  <c r="E999"/>
  <c r="E1166" s="1"/>
  <c r="F331" s="1"/>
  <c r="G920"/>
  <c r="G1087" s="1"/>
  <c r="H252" s="1"/>
  <c r="G1032"/>
  <c r="H197" s="1"/>
  <c r="H1038"/>
  <c r="H53" i="32"/>
  <c r="H168" i="34"/>
  <c r="G1002"/>
  <c r="G1169" s="1"/>
  <c r="H334" s="1"/>
  <c r="H98"/>
  <c r="H14" i="23"/>
  <c r="H12" s="1"/>
  <c r="H53" i="34"/>
  <c r="H76"/>
  <c r="G1070"/>
  <c r="H235" s="1"/>
  <c r="F143" i="39"/>
  <c r="F186" s="1"/>
  <c r="F115"/>
  <c r="F158" s="1"/>
  <c r="E124"/>
  <c r="E167" s="1"/>
  <c r="E142" i="38"/>
  <c r="E185" s="1"/>
  <c r="F132"/>
  <c r="F175" s="1"/>
  <c r="H9" i="43"/>
  <c r="H8" i="4"/>
  <c r="H8" i="35"/>
  <c r="H9" i="44"/>
  <c r="H9" i="42"/>
  <c r="E1048" i="27"/>
  <c r="E1234"/>
  <c r="F304" s="1"/>
  <c r="E147" i="9"/>
  <c r="F1160" i="27"/>
  <c r="G230" s="1"/>
  <c r="E1069"/>
  <c r="E1255" s="1"/>
  <c r="F325" s="1"/>
  <c r="F1083"/>
  <c r="F1269"/>
  <c r="G339" s="1"/>
  <c r="F1042"/>
  <c r="F1228"/>
  <c r="G298" s="1"/>
  <c r="E1123"/>
  <c r="G21" i="36"/>
  <c r="G25" s="1"/>
  <c r="G22"/>
  <c r="G26" s="1"/>
  <c r="G30" s="1"/>
  <c r="G47"/>
  <c r="G51" s="1"/>
  <c r="H51" s="1"/>
  <c r="I51" s="1"/>
  <c r="I55" s="1"/>
  <c r="G46"/>
  <c r="G50" s="1"/>
  <c r="G54" s="1"/>
  <c r="F1307" i="27"/>
  <c r="G377" s="1"/>
  <c r="F1121"/>
  <c r="E1011"/>
  <c r="E1197" s="1"/>
  <c r="F267" s="1"/>
  <c r="F81"/>
  <c r="E1105"/>
  <c r="E1291" s="1"/>
  <c r="F361" s="1"/>
  <c r="F175"/>
  <c r="G1183"/>
  <c r="H253" s="1"/>
  <c r="G1276"/>
  <c r="H346" s="1"/>
  <c r="F1056"/>
  <c r="F953"/>
  <c r="F1139" s="1"/>
  <c r="G209" s="1"/>
  <c r="G77" i="9"/>
  <c r="G1044" i="27"/>
  <c r="G1230" s="1"/>
  <c r="H300" s="1"/>
  <c r="H114"/>
  <c r="G105" i="9"/>
  <c r="H55"/>
  <c r="F1030" i="27"/>
  <c r="F1216" s="1"/>
  <c r="G286" s="1"/>
  <c r="H199" i="9"/>
  <c r="H179"/>
  <c r="F9" i="43"/>
  <c r="F8" i="4"/>
  <c r="F8" i="35"/>
  <c r="F9" i="44"/>
  <c r="F9" i="42"/>
  <c r="G6" i="43"/>
  <c r="F6" i="9"/>
  <c r="F6" i="3"/>
  <c r="F6" i="31"/>
  <c r="F6" i="32"/>
  <c r="G6" i="42"/>
  <c r="G6" i="44"/>
  <c r="F6" i="34"/>
  <c r="F6" i="27"/>
  <c r="F6" i="29"/>
  <c r="G6" i="4"/>
  <c r="G6" i="35"/>
  <c r="F6" i="33"/>
  <c r="H17" i="43"/>
  <c r="E1251" i="27"/>
  <c r="F321" s="1"/>
  <c r="E973"/>
  <c r="E1159"/>
  <c r="F229" s="1"/>
  <c r="E1288"/>
  <c r="F358" s="1"/>
  <c r="E1185"/>
  <c r="F255" s="1"/>
  <c r="D137" i="29"/>
  <c r="D13" s="1"/>
  <c r="D954" i="27"/>
  <c r="D1140" s="1"/>
  <c r="E210" s="1"/>
  <c r="E24"/>
  <c r="E195" i="9"/>
  <c r="D1076" i="27"/>
  <c r="D1262" s="1"/>
  <c r="E332" s="1"/>
  <c r="E146"/>
  <c r="F1165"/>
  <c r="G235" s="1"/>
  <c r="F1277"/>
  <c r="G347" s="1"/>
  <c r="F1264"/>
  <c r="G334" s="1"/>
  <c r="E999"/>
  <c r="E1054"/>
  <c r="E1240" s="1"/>
  <c r="F310" s="1"/>
  <c r="F1055"/>
  <c r="F1241"/>
  <c r="G311" s="1"/>
  <c r="F1182"/>
  <c r="G252" s="1"/>
  <c r="F155" i="29"/>
  <c r="G59" s="1"/>
  <c r="E1065" i="27"/>
  <c r="F1231"/>
  <c r="G301" s="1"/>
  <c r="G1096"/>
  <c r="G1282"/>
  <c r="H352" s="1"/>
  <c r="G1146"/>
  <c r="H216" s="1"/>
  <c r="G1195"/>
  <c r="H265" s="1"/>
  <c r="F992"/>
  <c r="F1178" s="1"/>
  <c r="G248" s="1"/>
  <c r="G62"/>
  <c r="G987"/>
  <c r="G1173"/>
  <c r="H243" s="1"/>
  <c r="F1043"/>
  <c r="F1229" s="1"/>
  <c r="G299" s="1"/>
  <c r="F1113"/>
  <c r="G183"/>
  <c r="G29" i="3"/>
  <c r="F1028" i="27"/>
  <c r="F1214" s="1"/>
  <c r="G284" s="1"/>
  <c r="H51" i="9"/>
  <c r="G1095" i="27"/>
  <c r="H115" i="9"/>
  <c r="F1034" i="27"/>
  <c r="F1220" s="1"/>
  <c r="G290" s="1"/>
  <c r="G104"/>
  <c r="H91" i="9"/>
  <c r="H995" i="27"/>
  <c r="H1181" s="1"/>
  <c r="G955"/>
  <c r="G1141" s="1"/>
  <c r="H211" s="1"/>
  <c r="G1064"/>
  <c r="G1250"/>
  <c r="H320" s="1"/>
  <c r="H144"/>
  <c r="G970"/>
  <c r="G1156" s="1"/>
  <c r="H226" s="1"/>
  <c r="G148" i="9"/>
  <c r="E1065" i="34"/>
  <c r="F230" s="1"/>
  <c r="E908"/>
  <c r="E1075" s="1"/>
  <c r="F240" s="1"/>
  <c r="E964"/>
  <c r="E1131" s="1"/>
  <c r="F296" s="1"/>
  <c r="F130"/>
  <c r="E1132"/>
  <c r="F297" s="1"/>
  <c r="E1154"/>
  <c r="F319" s="1"/>
  <c r="E1009"/>
  <c r="E1176" s="1"/>
  <c r="F341" s="1"/>
  <c r="F22" i="31"/>
  <c r="E1026" i="34"/>
  <c r="F191" s="1"/>
  <c r="E1096"/>
  <c r="F261" s="1"/>
  <c r="E929"/>
  <c r="F32" i="32"/>
  <c r="G22" i="33"/>
  <c r="G97"/>
  <c r="G115"/>
  <c r="H43" s="1"/>
  <c r="F113" i="32"/>
  <c r="F93" i="33"/>
  <c r="F140" i="32"/>
  <c r="D860" i="34"/>
  <c r="D1027" s="1"/>
  <c r="E192" s="1"/>
  <c r="E26"/>
  <c r="G131" i="32"/>
  <c r="F978" i="34"/>
  <c r="F1145" s="1"/>
  <c r="G310" s="1"/>
  <c r="H1119"/>
  <c r="G95" i="32"/>
  <c r="F98" i="33"/>
  <c r="F116" s="1"/>
  <c r="G44" s="1"/>
  <c r="E861" i="34"/>
  <c r="E1028" s="1"/>
  <c r="F193" s="1"/>
  <c r="H29" i="33"/>
  <c r="G99"/>
  <c r="G70" i="32"/>
  <c r="F117" i="33"/>
  <c r="G45" s="1"/>
  <c r="F33" i="43"/>
  <c r="F34" s="1"/>
  <c r="G29" s="1"/>
  <c r="H13" i="23"/>
  <c r="H11" s="1"/>
  <c r="H62" i="2"/>
  <c r="D15" i="3"/>
  <c r="E102" i="41"/>
  <c r="H133" i="34"/>
  <c r="G109" i="32"/>
  <c r="H136" i="34"/>
  <c r="G970"/>
  <c r="F128"/>
  <c r="E962"/>
  <c r="E1129" s="1"/>
  <c r="F294" s="1"/>
  <c r="G110" i="32"/>
  <c r="G930" i="34"/>
  <c r="G1097"/>
  <c r="H262" s="1"/>
  <c r="F120" i="39"/>
  <c r="F163" s="1"/>
  <c r="F111"/>
  <c r="F154" s="1"/>
  <c r="I17" i="42"/>
  <c r="E119" i="38"/>
  <c r="E162" s="1"/>
  <c r="E128"/>
  <c r="E171" s="1"/>
  <c r="F92" i="39"/>
  <c r="D71"/>
  <c r="E114" s="1"/>
  <c r="E157" s="1"/>
  <c r="F121"/>
  <c r="F164" s="1"/>
  <c r="F143" i="38"/>
  <c r="F186" s="1"/>
  <c r="F136"/>
  <c r="F179" s="1"/>
  <c r="F128"/>
  <c r="F171" s="1"/>
  <c r="F112"/>
  <c r="F155" s="1"/>
  <c r="F79" i="39"/>
  <c r="F122" s="1"/>
  <c r="F165" s="1"/>
  <c r="F86"/>
  <c r="F129" s="1"/>
  <c r="F172" s="1"/>
  <c r="E118"/>
  <c r="E161" s="1"/>
  <c r="E67"/>
  <c r="E110" s="1"/>
  <c r="E153" s="1"/>
  <c r="F134"/>
  <c r="F177" s="1"/>
  <c r="D60" i="4"/>
  <c r="F6" i="43"/>
  <c r="E6" i="3"/>
  <c r="E6" i="9"/>
  <c r="E6" i="31"/>
  <c r="E6" i="32"/>
  <c r="F6" i="44"/>
  <c r="F6" i="35"/>
  <c r="E6" i="27"/>
  <c r="F6" i="42"/>
  <c r="E6" i="34"/>
  <c r="E6" i="29"/>
  <c r="F6" i="4"/>
  <c r="E6" i="33"/>
  <c r="E46" i="29"/>
  <c r="D161"/>
  <c r="D14" s="1"/>
  <c r="E1194" i="27"/>
  <c r="F264" s="1"/>
  <c r="E33" i="9"/>
  <c r="F1317" i="27"/>
  <c r="G387" s="1"/>
  <c r="E1045" i="34"/>
  <c r="F210" s="1"/>
  <c r="E916"/>
  <c r="E1083" s="1"/>
  <c r="F248" s="1"/>
  <c r="F82"/>
  <c r="E1013"/>
  <c r="E1180"/>
  <c r="F345" s="1"/>
  <c r="E906"/>
  <c r="E1073" s="1"/>
  <c r="F238" s="1"/>
  <c r="E957"/>
  <c r="E1124" s="1"/>
  <c r="F289" s="1"/>
  <c r="F123"/>
  <c r="F1130"/>
  <c r="G295" s="1"/>
  <c r="F862"/>
  <c r="F1029"/>
  <c r="G194" s="1"/>
  <c r="H174" i="32"/>
  <c r="F1077" i="34"/>
  <c r="G242" s="1"/>
  <c r="G910" s="1"/>
  <c r="F1218" i="27"/>
  <c r="G288" s="1"/>
  <c r="F880" i="34"/>
  <c r="F1047"/>
  <c r="G212" s="1"/>
  <c r="E969"/>
  <c r="E1136" s="1"/>
  <c r="F301" s="1"/>
  <c r="F135"/>
  <c r="F95" i="33"/>
  <c r="F113" s="1"/>
  <c r="G41" s="1"/>
  <c r="F110" i="38"/>
  <c r="F153" s="1"/>
  <c r="I8" i="43"/>
  <c r="I9" i="4"/>
  <c r="I9" i="35"/>
  <c r="I8" i="42"/>
  <c r="I8" i="44"/>
  <c r="E1019" i="27"/>
  <c r="E1205"/>
  <c r="F275" s="1"/>
  <c r="F1145"/>
  <c r="G215" s="1"/>
  <c r="F971"/>
  <c r="F1157"/>
  <c r="G227" s="1"/>
  <c r="H143" i="9"/>
  <c r="F132" i="29"/>
  <c r="F156" s="1"/>
  <c r="G60" s="1"/>
  <c r="G38"/>
  <c r="E11" i="32"/>
  <c r="F103" i="41" s="1"/>
  <c r="F90"/>
  <c r="F91" s="1"/>
  <c r="F950" i="34"/>
  <c r="F1117" s="1"/>
  <c r="G282" s="1"/>
  <c r="E1110"/>
  <c r="F275" s="1"/>
  <c r="F1105"/>
  <c r="G270" s="1"/>
  <c r="F994"/>
  <c r="F1161" s="1"/>
  <c r="G326" s="1"/>
  <c r="G160"/>
  <c r="E875"/>
  <c r="E1042" s="1"/>
  <c r="F207" s="1"/>
  <c r="E1026" i="27"/>
  <c r="F96"/>
  <c r="H94" i="32"/>
  <c r="H960" i="34"/>
  <c r="H1127" s="1"/>
  <c r="E121" i="39"/>
  <c r="E164" s="1"/>
  <c r="E130"/>
  <c r="E173" s="1"/>
  <c r="E137" i="38"/>
  <c r="E180" s="1"/>
  <c r="E115" i="39"/>
  <c r="E158" s="1"/>
  <c r="E1153" i="27"/>
  <c r="F223" s="1"/>
  <c r="F52" i="43"/>
  <c r="F56" s="1"/>
  <c r="F52" i="44"/>
  <c r="F54" i="42"/>
  <c r="F58" s="1"/>
  <c r="E1305" i="27"/>
  <c r="F375" s="1"/>
  <c r="D762"/>
  <c r="D11" s="1"/>
  <c r="E967"/>
  <c r="F1161"/>
  <c r="G231" s="1"/>
  <c r="G1168"/>
  <c r="H238" s="1"/>
  <c r="F1196"/>
  <c r="G266" s="1"/>
  <c r="G1018"/>
  <c r="G1204" s="1"/>
  <c r="H274" s="1"/>
  <c r="H139" i="9"/>
  <c r="I10" i="43"/>
  <c r="I10" i="4"/>
  <c r="I10" i="35"/>
  <c r="I10" i="44"/>
  <c r="I10" i="42"/>
  <c r="E1027" i="27"/>
  <c r="E1213" s="1"/>
  <c r="F283" s="1"/>
  <c r="E13" i="23"/>
  <c r="E11" s="1"/>
  <c r="E62" i="2"/>
  <c r="E63" s="1"/>
  <c r="E64" s="1"/>
  <c r="E69" s="1"/>
  <c r="F1149" i="27"/>
  <c r="G219" s="1"/>
  <c r="F1108"/>
  <c r="F1294"/>
  <c r="G364" s="1"/>
  <c r="G1172"/>
  <c r="H242" s="1"/>
  <c r="F1274"/>
  <c r="G344" s="1"/>
  <c r="F1129"/>
  <c r="F1315" s="1"/>
  <c r="G385" s="1"/>
  <c r="G199"/>
  <c r="F108" i="32"/>
  <c r="H1058" i="27"/>
  <c r="H1244" s="1"/>
  <c r="E1146" i="34"/>
  <c r="F311" s="1"/>
  <c r="E1069"/>
  <c r="F234" s="1"/>
  <c r="F902" s="1"/>
  <c r="F913"/>
  <c r="F1080" s="1"/>
  <c r="G245" s="1"/>
  <c r="G151" i="32"/>
  <c r="F928" i="34"/>
  <c r="F1095" s="1"/>
  <c r="G260" s="1"/>
  <c r="F1015"/>
  <c r="G181"/>
  <c r="F1153"/>
  <c r="G318" s="1"/>
  <c r="G1163"/>
  <c r="H328" s="1"/>
  <c r="H28" i="31"/>
  <c r="F998" i="34"/>
  <c r="F1165"/>
  <c r="G330" s="1"/>
  <c r="H180"/>
  <c r="F35" i="23"/>
  <c r="F64"/>
  <c r="F1046" i="34"/>
  <c r="G211" s="1"/>
  <c r="F145" i="39"/>
  <c r="F188" s="1"/>
  <c r="H165" i="32"/>
  <c r="G8" i="43"/>
  <c r="G9" i="4"/>
  <c r="G9" i="35"/>
  <c r="G8" i="42"/>
  <c r="G8" i="44"/>
  <c r="E11" i="43"/>
  <c r="E11" i="4"/>
  <c r="E11" i="35"/>
  <c r="E11" i="44"/>
  <c r="E11" i="42"/>
  <c r="E1100" i="27"/>
  <c r="E1286"/>
  <c r="F356" s="1"/>
  <c r="D1134"/>
  <c r="D13" s="1"/>
  <c r="D1137"/>
  <c r="E7" i="43"/>
  <c r="E38" s="1"/>
  <c r="E7" i="4"/>
  <c r="E7" i="44"/>
  <c r="E38" s="1"/>
  <c r="E7" i="35"/>
  <c r="E7" i="42"/>
  <c r="E40" s="1"/>
  <c r="I9" i="43"/>
  <c r="I8" i="4"/>
  <c r="I8" i="35"/>
  <c r="I9" i="44"/>
  <c r="I9" i="42"/>
  <c r="G10" i="43"/>
  <c r="G10" i="4"/>
  <c r="G10" i="35"/>
  <c r="G10" i="44"/>
  <c r="G10" i="42"/>
  <c r="E1319" i="27"/>
  <c r="F389" s="1"/>
  <c r="E1167"/>
  <c r="F237" s="1"/>
  <c r="D932" i="9"/>
  <c r="D1110" i="27"/>
  <c r="D1296" s="1"/>
  <c r="E366" s="1"/>
  <c r="E1192"/>
  <c r="F262" s="1"/>
  <c r="E964"/>
  <c r="E1150"/>
  <c r="F220" s="1"/>
  <c r="E1210"/>
  <c r="F280" s="1"/>
  <c r="E1188"/>
  <c r="F258" s="1"/>
  <c r="D956"/>
  <c r="D1142" s="1"/>
  <c r="E212" s="1"/>
  <c r="E26"/>
  <c r="D1124"/>
  <c r="D1310" s="1"/>
  <c r="E380" s="1"/>
  <c r="E194"/>
  <c r="G61" i="2"/>
  <c r="F1104" i="27"/>
  <c r="F1290"/>
  <c r="G360" s="1"/>
  <c r="E1111"/>
  <c r="E1297" s="1"/>
  <c r="F367" s="1"/>
  <c r="F1279"/>
  <c r="G349" s="1"/>
  <c r="F1093"/>
  <c r="E1020"/>
  <c r="E1206" s="1"/>
  <c r="F276" s="1"/>
  <c r="F1103"/>
  <c r="F1289" s="1"/>
  <c r="G359" s="1"/>
  <c r="F1072"/>
  <c r="F1258"/>
  <c r="G328" s="1"/>
  <c r="E1098"/>
  <c r="E1284" s="1"/>
  <c r="F354" s="1"/>
  <c r="F1243"/>
  <c r="G313" s="1"/>
  <c r="E1073"/>
  <c r="E1259" s="1"/>
  <c r="F329" s="1"/>
  <c r="F1049"/>
  <c r="F1235" s="1"/>
  <c r="G305" s="1"/>
  <c r="G119"/>
  <c r="F1086"/>
  <c r="F1272" s="1"/>
  <c r="G342" s="1"/>
  <c r="F1040"/>
  <c r="G1116"/>
  <c r="G1302"/>
  <c r="H372" s="1"/>
  <c r="F1299"/>
  <c r="G369" s="1"/>
  <c r="G153" i="9"/>
  <c r="G986" i="27"/>
  <c r="G1107"/>
  <c r="G121" i="29"/>
  <c r="G145" s="1"/>
  <c r="H49" s="1"/>
  <c r="G1000" i="27"/>
  <c r="G1186" s="1"/>
  <c r="H256" s="1"/>
  <c r="G44" i="29"/>
  <c r="H151" i="9"/>
  <c r="N149" i="30"/>
  <c r="G149"/>
  <c r="H1164" i="27"/>
  <c r="F1074"/>
  <c r="F1260" s="1"/>
  <c r="G330" s="1"/>
  <c r="G1015"/>
  <c r="G1201" s="1"/>
  <c r="H271" s="1"/>
  <c r="G150" i="30"/>
  <c r="N150"/>
  <c r="H120" i="29"/>
  <c r="H144" s="1"/>
  <c r="H1017" i="27"/>
  <c r="H1203" s="1"/>
  <c r="H1079"/>
  <c r="H1265" s="1"/>
  <c r="H993"/>
  <c r="H1179"/>
  <c r="E1033" i="34"/>
  <c r="F198" s="1"/>
  <c r="E961"/>
  <c r="E1128" s="1"/>
  <c r="F293" s="1"/>
  <c r="F968"/>
  <c r="F1135" s="1"/>
  <c r="G300" s="1"/>
  <c r="F30" i="31"/>
  <c r="F84" i="32"/>
  <c r="F1155" i="34"/>
  <c r="G320" s="1"/>
  <c r="D16" i="32"/>
  <c r="E16" i="35" s="1"/>
  <c r="E967" i="34"/>
  <c r="E1134" s="1"/>
  <c r="F299" s="1"/>
  <c r="E1156"/>
  <c r="F321" s="1"/>
  <c r="F989" s="1"/>
  <c r="E1178"/>
  <c r="F343" s="1"/>
  <c r="F918"/>
  <c r="F1085"/>
  <c r="G250" s="1"/>
  <c r="E1049"/>
  <c r="F214" s="1"/>
  <c r="E933"/>
  <c r="E1100"/>
  <c r="F265" s="1"/>
  <c r="E112" i="33"/>
  <c r="F40" s="1"/>
  <c r="E866" i="34"/>
  <c r="F125" i="32"/>
  <c r="H1075" i="27"/>
  <c r="H1261" s="1"/>
  <c r="E945" i="34"/>
  <c r="E1112" s="1"/>
  <c r="F277" s="1"/>
  <c r="F111"/>
  <c r="H157"/>
  <c r="F100" i="33"/>
  <c r="F118" s="1"/>
  <c r="G46" s="1"/>
  <c r="G30"/>
  <c r="G33" i="31"/>
  <c r="G173" i="32"/>
  <c r="G139" i="34"/>
  <c r="H172"/>
  <c r="H164" i="32"/>
  <c r="G149"/>
  <c r="H153" i="34"/>
  <c r="G976"/>
  <c r="G1143" s="1"/>
  <c r="H308" s="1"/>
  <c r="H142"/>
  <c r="H26" i="32"/>
  <c r="G865" i="34"/>
  <c r="G114" i="32"/>
  <c r="H96"/>
  <c r="H32" i="31"/>
  <c r="H84" i="34"/>
  <c r="H28" i="43"/>
  <c r="E30" i="36"/>
  <c r="E55"/>
  <c r="G64" i="23"/>
  <c r="G99" i="32"/>
  <c r="G896" i="34"/>
  <c r="G1137"/>
  <c r="H302" s="1"/>
  <c r="F130" i="32"/>
  <c r="H25" i="33"/>
  <c r="H115" i="34"/>
  <c r="G903"/>
  <c r="E117" i="39"/>
  <c r="E160" s="1"/>
  <c r="E34" i="42"/>
  <c r="F29" s="1"/>
  <c r="D66" i="39"/>
  <c r="H12" i="43"/>
  <c r="E58" i="44"/>
  <c r="E47"/>
  <c r="F99" i="39"/>
  <c r="F142" s="1"/>
  <c r="F185" s="1"/>
  <c r="E126" i="38"/>
  <c r="E169" s="1"/>
  <c r="E144"/>
  <c r="E187" s="1"/>
  <c r="E123"/>
  <c r="E166" s="1"/>
  <c r="F146"/>
  <c r="F189" s="1"/>
  <c r="F135"/>
  <c r="F178" s="1"/>
  <c r="F126"/>
  <c r="F169" s="1"/>
  <c r="F114"/>
  <c r="F157" s="1"/>
  <c r="F66" i="39"/>
  <c r="F109" s="1"/>
  <c r="F152" s="1"/>
  <c r="D25" i="4"/>
  <c r="G57" i="41"/>
  <c r="J57" s="1"/>
  <c r="D58" i="35" l="1"/>
  <c r="D59"/>
  <c r="D25"/>
  <c r="D61"/>
  <c r="D27"/>
  <c r="D934" i="9"/>
  <c r="D1120" s="1"/>
  <c r="D928"/>
  <c r="D1114" s="1"/>
  <c r="D1300" s="1"/>
  <c r="E370" s="1"/>
  <c r="D940"/>
  <c r="D1126" s="1"/>
  <c r="D1312" s="1"/>
  <c r="E382" s="1"/>
  <c r="I12" i="44"/>
  <c r="D46" s="1"/>
  <c r="D942" i="9"/>
  <c r="D1128" s="1"/>
  <c r="E59" i="43"/>
  <c r="E62" s="1"/>
  <c r="E64" s="1"/>
  <c r="E49" s="1"/>
  <c r="G1043" i="27"/>
  <c r="G1229"/>
  <c r="H299" s="1"/>
  <c r="F158" i="29"/>
  <c r="G62" s="1"/>
  <c r="F134"/>
  <c r="G1074" i="27"/>
  <c r="G1260" s="1"/>
  <c r="H330" s="1"/>
  <c r="H1018"/>
  <c r="H1204" s="1"/>
  <c r="G978" i="34"/>
  <c r="G1145" s="1"/>
  <c r="H310" s="1"/>
  <c r="G1191" i="27"/>
  <c r="H261" s="1"/>
  <c r="G1005"/>
  <c r="G980"/>
  <c r="G1166" s="1"/>
  <c r="H236" s="1"/>
  <c r="F888" i="34"/>
  <c r="F1055" s="1"/>
  <c r="G220" s="1"/>
  <c r="H991" i="27"/>
  <c r="H1177" s="1"/>
  <c r="H1041" i="34"/>
  <c r="H874"/>
  <c r="G887"/>
  <c r="G1054" s="1"/>
  <c r="H219" s="1"/>
  <c r="G118" i="33"/>
  <c r="H46" s="1"/>
  <c r="E38" i="35"/>
  <c r="E71" s="1"/>
  <c r="E17"/>
  <c r="E50"/>
  <c r="E51" s="1"/>
  <c r="G913" i="34"/>
  <c r="G1080" s="1"/>
  <c r="H245" s="1"/>
  <c r="F1027" i="27"/>
  <c r="F1213"/>
  <c r="G283" s="1"/>
  <c r="G953"/>
  <c r="G1139" s="1"/>
  <c r="H209" s="1"/>
  <c r="H159" i="29"/>
  <c r="H135"/>
  <c r="F991" i="34"/>
  <c r="F1158" s="1"/>
  <c r="G323" s="1"/>
  <c r="H965" i="27"/>
  <c r="H1151" s="1"/>
  <c r="F911" i="34"/>
  <c r="F1078" s="1"/>
  <c r="G243" s="1"/>
  <c r="G1162" i="27"/>
  <c r="H232" s="1"/>
  <c r="G976"/>
  <c r="F907" i="34"/>
  <c r="F1074" s="1"/>
  <c r="G239" s="1"/>
  <c r="G1090"/>
  <c r="H255" s="1"/>
  <c r="H923" s="1"/>
  <c r="G923"/>
  <c r="H1115" i="27"/>
  <c r="H1301" s="1"/>
  <c r="G1056" i="34"/>
  <c r="H221" s="1"/>
  <c r="G889"/>
  <c r="G985"/>
  <c r="G1152"/>
  <c r="H317" s="1"/>
  <c r="G1272" i="27"/>
  <c r="H342" s="1"/>
  <c r="G1086"/>
  <c r="F906" i="34"/>
  <c r="F1073" s="1"/>
  <c r="G238" s="1"/>
  <c r="F997"/>
  <c r="F1164" s="1"/>
  <c r="G329" s="1"/>
  <c r="H1143"/>
  <c r="F1020" i="27"/>
  <c r="F1206" s="1"/>
  <c r="G276" s="1"/>
  <c r="G950" i="34"/>
  <c r="G1117"/>
  <c r="H282" s="1"/>
  <c r="F937"/>
  <c r="F1104"/>
  <c r="G269" s="1"/>
  <c r="F1073" i="27"/>
  <c r="F1259" s="1"/>
  <c r="G329" s="1"/>
  <c r="G95" i="33"/>
  <c r="G113" s="1"/>
  <c r="H41" s="1"/>
  <c r="G1215" i="27"/>
  <c r="H285" s="1"/>
  <c r="G1029"/>
  <c r="D1112" i="9"/>
  <c r="D1298" s="1"/>
  <c r="E368" s="1"/>
  <c r="G1103" i="34"/>
  <c r="H268" s="1"/>
  <c r="G936"/>
  <c r="F37" i="23"/>
  <c r="F66"/>
  <c r="G899" i="34"/>
  <c r="G1066" s="1"/>
  <c r="H231" s="1"/>
  <c r="F886"/>
  <c r="F1053" s="1"/>
  <c r="G218" s="1"/>
  <c r="G1013" i="27"/>
  <c r="G1199" s="1"/>
  <c r="H269" s="1"/>
  <c r="F1058" i="34"/>
  <c r="G223" s="1"/>
  <c r="F891"/>
  <c r="H970" i="27"/>
  <c r="H1156"/>
  <c r="G65" i="23"/>
  <c r="F1037" i="34"/>
  <c r="G202" s="1"/>
  <c r="F870"/>
  <c r="F875"/>
  <c r="F1042"/>
  <c r="G207" s="1"/>
  <c r="H955" i="27"/>
  <c r="H1141"/>
  <c r="F1025"/>
  <c r="F1211" s="1"/>
  <c r="G281" s="1"/>
  <c r="G922" i="34"/>
  <c r="G1089" s="1"/>
  <c r="H254" s="1"/>
  <c r="G995"/>
  <c r="G1162"/>
  <c r="H327" s="1"/>
  <c r="F1098" i="27"/>
  <c r="F1284" s="1"/>
  <c r="G354" s="1"/>
  <c r="G156" i="29"/>
  <c r="H60" s="1"/>
  <c r="F861" i="34"/>
  <c r="F1028" s="1"/>
  <c r="G193" s="1"/>
  <c r="F908"/>
  <c r="F1075"/>
  <c r="G240" s="1"/>
  <c r="F1069" i="27"/>
  <c r="F1255"/>
  <c r="G325" s="1"/>
  <c r="F1059" i="34"/>
  <c r="G224" s="1"/>
  <c r="F892"/>
  <c r="H972"/>
  <c r="H1139" s="1"/>
  <c r="G1071" i="27"/>
  <c r="G1257" s="1"/>
  <c r="H327" s="1"/>
  <c r="F977"/>
  <c r="F1163"/>
  <c r="G233" s="1"/>
  <c r="G1066"/>
  <c r="G1252" s="1"/>
  <c r="H322" s="1"/>
  <c r="G857" i="34"/>
  <c r="G1024" s="1"/>
  <c r="H189" s="1"/>
  <c r="G971"/>
  <c r="G1138"/>
  <c r="H303" s="1"/>
  <c r="H934"/>
  <c r="H1101" s="1"/>
  <c r="H145" i="29"/>
  <c r="H121"/>
  <c r="G928" i="34"/>
  <c r="G1095" s="1"/>
  <c r="H260" s="1"/>
  <c r="F1009"/>
  <c r="F1176" s="1"/>
  <c r="G341" s="1"/>
  <c r="F999"/>
  <c r="F1166" s="1"/>
  <c r="G331" s="1"/>
  <c r="G1007" i="27"/>
  <c r="G1193" s="1"/>
  <c r="H263" s="1"/>
  <c r="H133" i="29"/>
  <c r="H157" s="1"/>
  <c r="G905" i="34"/>
  <c r="G1072" s="1"/>
  <c r="H237" s="1"/>
  <c r="F967"/>
  <c r="F1134" s="1"/>
  <c r="G299" s="1"/>
  <c r="F1297" i="27"/>
  <c r="G367" s="1"/>
  <c r="F1111"/>
  <c r="G1028"/>
  <c r="G1214"/>
  <c r="H284" s="1"/>
  <c r="F893" i="34"/>
  <c r="F1060" s="1"/>
  <c r="G225" s="1"/>
  <c r="H1109"/>
  <c r="H942"/>
  <c r="G968"/>
  <c r="G1135"/>
  <c r="H300" s="1"/>
  <c r="G98" i="33"/>
  <c r="G116" s="1"/>
  <c r="H44" s="1"/>
  <c r="G1271" i="27"/>
  <c r="H341" s="1"/>
  <c r="G1085"/>
  <c r="F890" i="34"/>
  <c r="F1057" s="1"/>
  <c r="G222" s="1"/>
  <c r="F1120" i="27"/>
  <c r="F1306" s="1"/>
  <c r="G376" s="1"/>
  <c r="F858" i="34"/>
  <c r="F1025"/>
  <c r="G190" s="1"/>
  <c r="G1008"/>
  <c r="G1175" s="1"/>
  <c r="H340" s="1"/>
  <c r="F951"/>
  <c r="F1118" s="1"/>
  <c r="G283" s="1"/>
  <c r="G931"/>
  <c r="G1098" s="1"/>
  <c r="H263" s="1"/>
  <c r="G1292" i="27"/>
  <c r="H362" s="1"/>
  <c r="G1106"/>
  <c r="G953" i="34"/>
  <c r="G1120" s="1"/>
  <c r="H285" s="1"/>
  <c r="H1015" i="27"/>
  <c r="H1201"/>
  <c r="G1103"/>
  <c r="G1289" s="1"/>
  <c r="H359" s="1"/>
  <c r="G34" i="43"/>
  <c r="H29" s="1"/>
  <c r="H33" s="1"/>
  <c r="G33"/>
  <c r="G949" i="34"/>
  <c r="G1116" s="1"/>
  <c r="H281" s="1"/>
  <c r="H141" i="29"/>
  <c r="H117"/>
  <c r="G1216" i="27"/>
  <c r="H286" s="1"/>
  <c r="G1030"/>
  <c r="F981" i="34"/>
  <c r="F1148" s="1"/>
  <c r="G313" s="1"/>
  <c r="F1099" i="27"/>
  <c r="F1285"/>
  <c r="G355" s="1"/>
  <c r="F961" i="34"/>
  <c r="F1128" s="1"/>
  <c r="G293" s="1"/>
  <c r="H1000" i="27"/>
  <c r="H1186" s="1"/>
  <c r="F1054"/>
  <c r="F1240" s="1"/>
  <c r="G310" s="1"/>
  <c r="H25" i="36"/>
  <c r="G52" i="43"/>
  <c r="G56" s="1"/>
  <c r="G10" i="38"/>
  <c r="G17" i="36"/>
  <c r="J17" s="1"/>
  <c r="G52" i="44"/>
  <c r="G56" s="1"/>
  <c r="G54" i="42"/>
  <c r="G58" s="1"/>
  <c r="G29" i="36"/>
  <c r="G32" s="1"/>
  <c r="G32" i="35" s="1"/>
  <c r="H920" i="34"/>
  <c r="H1087" s="1"/>
  <c r="F1227" i="27"/>
  <c r="G297" s="1"/>
  <c r="F1041"/>
  <c r="G1016" i="34"/>
  <c r="G1183" s="1"/>
  <c r="H348" s="1"/>
  <c r="G1068" i="27"/>
  <c r="G1254" s="1"/>
  <c r="H324" s="1"/>
  <c r="F919" i="34"/>
  <c r="F1086" s="1"/>
  <c r="G251" s="1"/>
  <c r="F1184"/>
  <c r="G349" s="1"/>
  <c r="F1017"/>
  <c r="R187" i="26"/>
  <c r="J187" s="1"/>
  <c r="D10" i="46"/>
  <c r="R150" i="30" s="1"/>
  <c r="J150" s="1"/>
  <c r="E37" i="23"/>
  <c r="E66"/>
  <c r="H966" i="27"/>
  <c r="H1152"/>
  <c r="G1181" i="34"/>
  <c r="H346" s="1"/>
  <c r="G1014"/>
  <c r="F884"/>
  <c r="F1051" s="1"/>
  <c r="G216" s="1"/>
  <c r="G1006"/>
  <c r="G1173" s="1"/>
  <c r="H338" s="1"/>
  <c r="F104" i="33"/>
  <c r="F122" s="1"/>
  <c r="G50" s="1"/>
  <c r="G1165" i="34"/>
  <c r="H330" s="1"/>
  <c r="G998"/>
  <c r="F979"/>
  <c r="F1146"/>
  <c r="G311" s="1"/>
  <c r="G975" i="27"/>
  <c r="G1161" s="1"/>
  <c r="H231" s="1"/>
  <c r="F33" i="9"/>
  <c r="G979" i="27"/>
  <c r="G1165" s="1"/>
  <c r="H235" s="1"/>
  <c r="E954" i="34"/>
  <c r="F120"/>
  <c r="F1094" i="27"/>
  <c r="F1280" s="1"/>
  <c r="G350" s="1"/>
  <c r="F1155"/>
  <c r="G225" s="1"/>
  <c r="F969"/>
  <c r="G935" i="34"/>
  <c r="G1102" s="1"/>
  <c r="H267" s="1"/>
  <c r="H1091"/>
  <c r="H924"/>
  <c r="G100" i="33"/>
  <c r="H30"/>
  <c r="H100" s="1"/>
  <c r="G988" i="34"/>
  <c r="G1155" s="1"/>
  <c r="H320" s="1"/>
  <c r="F1100" i="27"/>
  <c r="F1286" s="1"/>
  <c r="G356" s="1"/>
  <c r="G938" i="34"/>
  <c r="G1105" s="1"/>
  <c r="H270" s="1"/>
  <c r="G1034" i="27"/>
  <c r="G1220" s="1"/>
  <c r="H290" s="1"/>
  <c r="H104"/>
  <c r="F1011"/>
  <c r="G81"/>
  <c r="G974"/>
  <c r="G1160"/>
  <c r="H230" s="1"/>
  <c r="G1092"/>
  <c r="G1278"/>
  <c r="H348" s="1"/>
  <c r="F1189"/>
  <c r="G259" s="1"/>
  <c r="F1003"/>
  <c r="H27" i="34"/>
  <c r="G983"/>
  <c r="G1150"/>
  <c r="H315" s="1"/>
  <c r="G106"/>
  <c r="F940"/>
  <c r="F1046" i="27"/>
  <c r="F1232" s="1"/>
  <c r="G302" s="1"/>
  <c r="H32" i="29"/>
  <c r="G126"/>
  <c r="G150" s="1"/>
  <c r="H54" s="1"/>
  <c r="H45" i="32"/>
  <c r="F984" i="34"/>
  <c r="G150"/>
  <c r="H1171" i="27"/>
  <c r="H985"/>
  <c r="F1052"/>
  <c r="F1238" s="1"/>
  <c r="G308" s="1"/>
  <c r="H43" i="34"/>
  <c r="I28" i="43"/>
  <c r="H139" i="34"/>
  <c r="G84" i="32"/>
  <c r="F1197" i="27"/>
  <c r="G267" s="1"/>
  <c r="F147" i="9"/>
  <c r="F1050" i="27"/>
  <c r="F1236"/>
  <c r="G306" s="1"/>
  <c r="G117" i="9"/>
  <c r="D693" i="32"/>
  <c r="D698"/>
  <c r="D735"/>
  <c r="D740"/>
  <c r="D785"/>
  <c r="D792"/>
  <c r="D796"/>
  <c r="D805"/>
  <c r="D827"/>
  <c r="D702"/>
  <c r="D706"/>
  <c r="D710"/>
  <c r="D714"/>
  <c r="D718"/>
  <c r="D722"/>
  <c r="D726"/>
  <c r="D730"/>
  <c r="D734"/>
  <c r="D739"/>
  <c r="D748"/>
  <c r="D757"/>
  <c r="D762"/>
  <c r="D766"/>
  <c r="D770"/>
  <c r="D775"/>
  <c r="D780"/>
  <c r="D791"/>
  <c r="D800"/>
  <c r="D811"/>
  <c r="D816"/>
  <c r="D821"/>
  <c r="D705"/>
  <c r="D724"/>
  <c r="D761"/>
  <c r="D813"/>
  <c r="D831"/>
  <c r="D841"/>
  <c r="D701"/>
  <c r="D720"/>
  <c r="D733"/>
  <c r="D790"/>
  <c r="D803"/>
  <c r="D838"/>
  <c r="D843"/>
  <c r="D853"/>
  <c r="D716"/>
  <c r="D729"/>
  <c r="D737"/>
  <c r="D750"/>
  <c r="D759"/>
  <c r="D772"/>
  <c r="D799"/>
  <c r="D833"/>
  <c r="D690"/>
  <c r="D708"/>
  <c r="D721"/>
  <c r="D764"/>
  <c r="D810"/>
  <c r="D847"/>
  <c r="D709"/>
  <c r="D728"/>
  <c r="D765"/>
  <c r="D798"/>
  <c r="D829"/>
  <c r="D851"/>
  <c r="D793"/>
  <c r="D849"/>
  <c r="D700"/>
  <c r="D712"/>
  <c r="D736"/>
  <c r="D769"/>
  <c r="D823"/>
  <c r="D704"/>
  <c r="D713"/>
  <c r="D746"/>
  <c r="D845"/>
  <c r="D747"/>
  <c r="D802"/>
  <c r="D808"/>
  <c r="D814"/>
  <c r="D825"/>
  <c r="D725"/>
  <c r="D738"/>
  <c r="D830"/>
  <c r="D839"/>
  <c r="D756"/>
  <c r="D788"/>
  <c r="D732"/>
  <c r="D768"/>
  <c r="D717"/>
  <c r="D695"/>
  <c r="D782"/>
  <c r="D837"/>
  <c r="D835"/>
  <c r="D741"/>
  <c r="D754"/>
  <c r="D767"/>
  <c r="D812"/>
  <c r="D751"/>
  <c r="D840"/>
  <c r="D822"/>
  <c r="D834"/>
  <c r="D818"/>
  <c r="D753"/>
  <c r="D777"/>
  <c r="D806"/>
  <c r="D815"/>
  <c r="D694"/>
  <c r="D691"/>
  <c r="D731"/>
  <c r="D692"/>
  <c r="D719"/>
  <c r="D852"/>
  <c r="D826"/>
  <c r="D820"/>
  <c r="D755"/>
  <c r="D809"/>
  <c r="D842"/>
  <c r="D846"/>
  <c r="D797"/>
  <c r="D801"/>
  <c r="D795"/>
  <c r="D832"/>
  <c r="D779"/>
  <c r="D850"/>
  <c r="D727"/>
  <c r="D836"/>
  <c r="D752"/>
  <c r="D742"/>
  <c r="D699"/>
  <c r="D758"/>
  <c r="D844"/>
  <c r="D711"/>
  <c r="D697"/>
  <c r="D794"/>
  <c r="D819"/>
  <c r="D824"/>
  <c r="D848"/>
  <c r="D771"/>
  <c r="D789"/>
  <c r="D828"/>
  <c r="D807"/>
  <c r="D749"/>
  <c r="D715"/>
  <c r="D783"/>
  <c r="D745"/>
  <c r="D773"/>
  <c r="D723"/>
  <c r="D786"/>
  <c r="D703"/>
  <c r="D707"/>
  <c r="D744"/>
  <c r="D804"/>
  <c r="D787"/>
  <c r="D817"/>
  <c r="D776"/>
  <c r="D743"/>
  <c r="D696"/>
  <c r="D784"/>
  <c r="D781"/>
  <c r="D774"/>
  <c r="D760"/>
  <c r="D763"/>
  <c r="D778"/>
  <c r="H1040" i="34"/>
  <c r="G990"/>
  <c r="G1157" s="1"/>
  <c r="H322" s="1"/>
  <c r="G1063"/>
  <c r="H228" s="1"/>
  <c r="F1107"/>
  <c r="G272" s="1"/>
  <c r="G1077" i="27"/>
  <c r="H147"/>
  <c r="F1313"/>
  <c r="G383" s="1"/>
  <c r="G1088"/>
  <c r="H158"/>
  <c r="H161" i="9"/>
  <c r="E57" i="36"/>
  <c r="H885" i="34"/>
  <c r="G1012"/>
  <c r="G1179" s="1"/>
  <c r="H344" s="1"/>
  <c r="F1003"/>
  <c r="F1170" s="1"/>
  <c r="G335" s="1"/>
  <c r="F1151"/>
  <c r="G316" s="1"/>
  <c r="H185" i="9"/>
  <c r="G994" i="27"/>
  <c r="G1180" s="1"/>
  <c r="H250" s="1"/>
  <c r="F1275"/>
  <c r="G345" s="1"/>
  <c r="F1089"/>
  <c r="F900" i="34"/>
  <c r="F1067" s="1"/>
  <c r="G232" s="1"/>
  <c r="H68"/>
  <c r="H1185"/>
  <c r="F947"/>
  <c r="F1114" s="1"/>
  <c r="G279" s="1"/>
  <c r="F975"/>
  <c r="F1142" s="1"/>
  <c r="G307" s="1"/>
  <c r="F21"/>
  <c r="G187" i="26"/>
  <c r="N187"/>
  <c r="F1035" i="27"/>
  <c r="F1221" s="1"/>
  <c r="G291" s="1"/>
  <c r="H105" i="32"/>
  <c r="F1114" i="27"/>
  <c r="F1300" s="1"/>
  <c r="G370" s="1"/>
  <c r="F1118"/>
  <c r="F1304" s="1"/>
  <c r="G374" s="1"/>
  <c r="G34" i="44"/>
  <c r="H29" s="1"/>
  <c r="G33"/>
  <c r="F973" i="34"/>
  <c r="F1140" s="1"/>
  <c r="G305" s="1"/>
  <c r="F1011"/>
  <c r="F1178" s="1"/>
  <c r="G343" s="1"/>
  <c r="E1124" i="27"/>
  <c r="F194"/>
  <c r="F1192"/>
  <c r="G262" s="1"/>
  <c r="F1006"/>
  <c r="G879" i="34"/>
  <c r="G1046" s="1"/>
  <c r="H211" s="1"/>
  <c r="F1119" i="27"/>
  <c r="F1305" s="1"/>
  <c r="G375" s="1"/>
  <c r="G1032"/>
  <c r="G1218" s="1"/>
  <c r="H288" s="1"/>
  <c r="G123" i="34"/>
  <c r="F957"/>
  <c r="F1124" s="1"/>
  <c r="G289" s="1"/>
  <c r="D18" i="29"/>
  <c r="G113" i="32"/>
  <c r="G1113" i="27"/>
  <c r="G1299" s="1"/>
  <c r="H369" s="1"/>
  <c r="H183"/>
  <c r="H1146"/>
  <c r="H960"/>
  <c r="F195" i="9"/>
  <c r="G82"/>
  <c r="G32" i="23"/>
  <c r="H1101" i="27"/>
  <c r="H1287" s="1"/>
  <c r="F187"/>
  <c r="E1117"/>
  <c r="E72" i="42"/>
  <c r="H77" i="32"/>
  <c r="H1184" i="27"/>
  <c r="D76" i="31"/>
  <c r="D80"/>
  <c r="D84"/>
  <c r="D79"/>
  <c r="D75"/>
  <c r="D82"/>
  <c r="D83"/>
  <c r="D78"/>
  <c r="D86"/>
  <c r="D87"/>
  <c r="D85"/>
  <c r="D74"/>
  <c r="D77"/>
  <c r="D81"/>
  <c r="F28" i="32"/>
  <c r="H958" i="34"/>
  <c r="F120" i="33"/>
  <c r="G48" s="1"/>
  <c r="F102"/>
  <c r="G132" i="32"/>
  <c r="G863" i="34"/>
  <c r="G1030" s="1"/>
  <c r="H195" s="1"/>
  <c r="G1061" i="27"/>
  <c r="G1247" s="1"/>
  <c r="H317" s="1"/>
  <c r="H1068" i="34"/>
  <c r="E962" i="27"/>
  <c r="E1148" s="1"/>
  <c r="F218" s="1"/>
  <c r="F32"/>
  <c r="E32" i="36"/>
  <c r="F977" i="34"/>
  <c r="F1144" s="1"/>
  <c r="G309" s="1"/>
  <c r="F1038" i="27"/>
  <c r="F1224" s="1"/>
  <c r="G294" s="1"/>
  <c r="G108"/>
  <c r="H69" i="32"/>
  <c r="G36"/>
  <c r="G72"/>
  <c r="D1019" i="34"/>
  <c r="D13" s="1"/>
  <c r="D1022"/>
  <c r="H1225" i="27"/>
  <c r="H37" i="3"/>
  <c r="F47" i="44"/>
  <c r="F58"/>
  <c r="G22" i="31"/>
  <c r="H77" i="9"/>
  <c r="H1032" i="34"/>
  <c r="H865"/>
  <c r="H974"/>
  <c r="H1141" s="1"/>
  <c r="G30"/>
  <c r="F864"/>
  <c r="F1031" s="1"/>
  <c r="G196" s="1"/>
  <c r="G917"/>
  <c r="G1084"/>
  <c r="H249" s="1"/>
  <c r="R186" i="26"/>
  <c r="J186" s="1"/>
  <c r="D5" i="46"/>
  <c r="R149" i="30" s="1"/>
  <c r="J149" s="1"/>
  <c r="G944" i="34"/>
  <c r="G1111" s="1"/>
  <c r="H276" s="1"/>
  <c r="G1109" i="27"/>
  <c r="G1295" s="1"/>
  <c r="H365" s="1"/>
  <c r="H179"/>
  <c r="F71" i="2"/>
  <c r="F118" i="41"/>
  <c r="G132" i="29"/>
  <c r="H38"/>
  <c r="H1250" i="27"/>
  <c r="H1064"/>
  <c r="F1102"/>
  <c r="F1288" s="1"/>
  <c r="G358" s="1"/>
  <c r="H903" i="34"/>
  <c r="H1070" s="1"/>
  <c r="F1031" i="27"/>
  <c r="F1217"/>
  <c r="G287" s="1"/>
  <c r="G1084"/>
  <c r="G1270"/>
  <c r="H340" s="1"/>
  <c r="H984"/>
  <c r="H1170"/>
  <c r="E38" i="33"/>
  <c r="D125"/>
  <c r="D14" s="1"/>
  <c r="D18" s="1"/>
  <c r="H160" i="32"/>
  <c r="H1125" i="34"/>
  <c r="H114" i="32"/>
  <c r="H1116" i="27"/>
  <c r="H1302" s="1"/>
  <c r="F916" i="34"/>
  <c r="F1083" s="1"/>
  <c r="G248" s="1"/>
  <c r="G82"/>
  <c r="H99" i="33"/>
  <c r="F1156" i="34"/>
  <c r="G321" s="1"/>
  <c r="E1310" i="27"/>
  <c r="F380" s="1"/>
  <c r="G963"/>
  <c r="G1149"/>
  <c r="H219" s="1"/>
  <c r="G1077" i="34"/>
  <c r="H242" s="1"/>
  <c r="F987"/>
  <c r="F1154" s="1"/>
  <c r="G319" s="1"/>
  <c r="H1096" i="27"/>
  <c r="H1282"/>
  <c r="G1042"/>
  <c r="G1228" s="1"/>
  <c r="H298" s="1"/>
  <c r="H1002" i="34"/>
  <c r="H1169" s="1"/>
  <c r="E1303" i="27"/>
  <c r="F373" s="1"/>
  <c r="G170" i="32"/>
  <c r="G1052" i="34"/>
  <c r="H217" s="1"/>
  <c r="H1070" i="27"/>
  <c r="H1256" s="1"/>
  <c r="D11" i="9"/>
  <c r="E90" i="41"/>
  <c r="E91" s="1"/>
  <c r="F904" i="34"/>
  <c r="F1071" s="1"/>
  <c r="G236" s="1"/>
  <c r="H149" i="29"/>
  <c r="H125"/>
  <c r="G103" i="2"/>
  <c r="G104" s="1"/>
  <c r="H102" s="1"/>
  <c r="H149" i="32"/>
  <c r="H173"/>
  <c r="F945" i="34"/>
  <c r="G111"/>
  <c r="F933"/>
  <c r="F1100"/>
  <c r="G265" s="1"/>
  <c r="E956" i="27"/>
  <c r="E1142" s="1"/>
  <c r="F212" s="1"/>
  <c r="F26"/>
  <c r="H996" i="34"/>
  <c r="H1163" s="1"/>
  <c r="G1129" i="27"/>
  <c r="G1315" s="1"/>
  <c r="H385" s="1"/>
  <c r="H199"/>
  <c r="F56" i="44"/>
  <c r="F110" i="39"/>
  <c r="F153" s="1"/>
  <c r="F962" i="34"/>
  <c r="G128"/>
  <c r="F58" i="43"/>
  <c r="F47"/>
  <c r="H95" i="32"/>
  <c r="E860" i="34"/>
  <c r="E1027" s="1"/>
  <c r="F192" s="1"/>
  <c r="F26"/>
  <c r="F965"/>
  <c r="F1132"/>
  <c r="G297" s="1"/>
  <c r="E954" i="27"/>
  <c r="F24"/>
  <c r="H1090"/>
  <c r="H1276"/>
  <c r="F959" i="34"/>
  <c r="F1126" s="1"/>
  <c r="G291" s="1"/>
  <c r="G6" i="39"/>
  <c r="H59" i="23"/>
  <c r="H79" i="32"/>
  <c r="E1067" i="27"/>
  <c r="E1253" s="1"/>
  <c r="F323" s="1"/>
  <c r="F137"/>
  <c r="H178" i="32"/>
  <c r="D769" i="9"/>
  <c r="D777"/>
  <c r="D785"/>
  <c r="D793"/>
  <c r="D801"/>
  <c r="D809"/>
  <c r="D817"/>
  <c r="D825"/>
  <c r="D833"/>
  <c r="D841"/>
  <c r="D849"/>
  <c r="D857"/>
  <c r="D865"/>
  <c r="D873"/>
  <c r="D766"/>
  <c r="D782"/>
  <c r="D798"/>
  <c r="D814"/>
  <c r="D830"/>
  <c r="D846"/>
  <c r="D862"/>
  <c r="D878"/>
  <c r="D889"/>
  <c r="D898"/>
  <c r="D916"/>
  <c r="D925"/>
  <c r="D767"/>
  <c r="D783"/>
  <c r="D799"/>
  <c r="D815"/>
  <c r="D831"/>
  <c r="D847"/>
  <c r="D863"/>
  <c r="D879"/>
  <c r="D890"/>
  <c r="D908"/>
  <c r="D917"/>
  <c r="D935"/>
  <c r="D770"/>
  <c r="D786"/>
  <c r="D802"/>
  <c r="D818"/>
  <c r="D834"/>
  <c r="D850"/>
  <c r="D866"/>
  <c r="D881"/>
  <c r="D900"/>
  <c r="D909"/>
  <c r="D918"/>
  <c r="D936"/>
  <c r="D773"/>
  <c r="D789"/>
  <c r="D805"/>
  <c r="D821"/>
  <c r="D837"/>
  <c r="D853"/>
  <c r="D869"/>
  <c r="D882"/>
  <c r="D892"/>
  <c r="D901"/>
  <c r="D910"/>
  <c r="D919"/>
  <c r="D937"/>
  <c r="D945"/>
  <c r="D775"/>
  <c r="D807"/>
  <c r="D839"/>
  <c r="D871"/>
  <c r="D894"/>
  <c r="D913"/>
  <c r="D931"/>
  <c r="D947"/>
  <c r="D778"/>
  <c r="D810"/>
  <c r="D842"/>
  <c r="D874"/>
  <c r="D895"/>
  <c r="D914"/>
  <c r="D781"/>
  <c r="D813"/>
  <c r="D845"/>
  <c r="D877"/>
  <c r="D897"/>
  <c r="D933"/>
  <c r="D791"/>
  <c r="D823"/>
  <c r="D855"/>
  <c r="D885"/>
  <c r="D903"/>
  <c r="D922"/>
  <c r="D774"/>
  <c r="D806"/>
  <c r="D838"/>
  <c r="D870"/>
  <c r="D893"/>
  <c r="D911"/>
  <c r="D826"/>
  <c r="D902"/>
  <c r="D941"/>
  <c r="D829"/>
  <c r="D905"/>
  <c r="D854"/>
  <c r="D906"/>
  <c r="D790"/>
  <c r="D861"/>
  <c r="D923"/>
  <c r="D822"/>
  <c r="D887"/>
  <c r="D921"/>
  <c r="D765"/>
  <c r="D938"/>
  <c r="D797"/>
  <c r="D886"/>
  <c r="D794"/>
  <c r="D858"/>
  <c r="D883"/>
  <c r="D891"/>
  <c r="D819"/>
  <c r="D939"/>
  <c r="D920"/>
  <c r="D856"/>
  <c r="D792"/>
  <c r="D868"/>
  <c r="D804"/>
  <c r="D867"/>
  <c r="D840"/>
  <c r="D852"/>
  <c r="D795"/>
  <c r="D896"/>
  <c r="D768"/>
  <c r="D915"/>
  <c r="D816"/>
  <c r="D771"/>
  <c r="D808"/>
  <c r="D827"/>
  <c r="D812"/>
  <c r="D875"/>
  <c r="D811"/>
  <c r="D927"/>
  <c r="D944"/>
  <c r="D912"/>
  <c r="D848"/>
  <c r="D784"/>
  <c r="D860"/>
  <c r="D796"/>
  <c r="D803"/>
  <c r="D904"/>
  <c r="D776"/>
  <c r="D859"/>
  <c r="D844"/>
  <c r="D779"/>
  <c r="D880"/>
  <c r="D828"/>
  <c r="D835"/>
  <c r="D872"/>
  <c r="D884"/>
  <c r="D899"/>
  <c r="D864"/>
  <c r="D800"/>
  <c r="D788"/>
  <c r="D832"/>
  <c r="D780"/>
  <c r="D843"/>
  <c r="D943"/>
  <c r="D946"/>
  <c r="D876"/>
  <c r="D930"/>
  <c r="D929"/>
  <c r="D851"/>
  <c r="D787"/>
  <c r="D888"/>
  <c r="D824"/>
  <c r="D836"/>
  <c r="D772"/>
  <c r="D907"/>
  <c r="D820"/>
  <c r="F122" i="32"/>
  <c r="G88"/>
  <c r="F1123" i="27"/>
  <c r="F1309" s="1"/>
  <c r="G379" s="1"/>
  <c r="G137" i="32"/>
  <c r="H157"/>
  <c r="F105" i="33"/>
  <c r="F123" s="1"/>
  <c r="G51" s="1"/>
  <c r="G35"/>
  <c r="H1112" i="27"/>
  <c r="H1298"/>
  <c r="F1037"/>
  <c r="F1223" s="1"/>
  <c r="G293" s="1"/>
  <c r="E59" i="44"/>
  <c r="E62" s="1"/>
  <c r="E64" s="1"/>
  <c r="E49" s="1"/>
  <c r="I12" i="42"/>
  <c r="D47" s="1"/>
  <c r="H873" i="34"/>
  <c r="F921"/>
  <c r="F1088" s="1"/>
  <c r="G253" s="1"/>
  <c r="G152" i="32"/>
  <c r="E92" i="42"/>
  <c r="H901" i="34"/>
  <c r="D1118" i="9"/>
  <c r="D1304" s="1"/>
  <c r="E374" s="1"/>
  <c r="E71" i="2"/>
  <c r="E118" i="41"/>
  <c r="G862" i="34"/>
  <c r="G1029" s="1"/>
  <c r="H194" s="1"/>
  <c r="H1097"/>
  <c r="H930"/>
  <c r="G1056" i="27"/>
  <c r="G1242" s="1"/>
  <c r="H312" s="1"/>
  <c r="H1125"/>
  <c r="H1311" s="1"/>
  <c r="E37" i="35"/>
  <c r="E70" s="1"/>
  <c r="F877" i="34"/>
  <c r="F1044" s="1"/>
  <c r="G209" s="1"/>
  <c r="F1001"/>
  <c r="F1168" s="1"/>
  <c r="G333" s="1"/>
  <c r="G869"/>
  <c r="H35"/>
  <c r="H869" s="1"/>
  <c r="H1014" i="27"/>
  <c r="H1200" s="1"/>
  <c r="F1150"/>
  <c r="G220" s="1"/>
  <c r="F964"/>
  <c r="E36" i="23"/>
  <c r="E65"/>
  <c r="G880" i="34"/>
  <c r="G1047" s="1"/>
  <c r="H212" s="1"/>
  <c r="G996" i="27"/>
  <c r="G1182"/>
  <c r="H252" s="1"/>
  <c r="H1030"/>
  <c r="F1182" i="34"/>
  <c r="G347" s="1"/>
  <c r="H66"/>
  <c r="F1318" i="27"/>
  <c r="G388" s="1"/>
  <c r="G125" i="32"/>
  <c r="G1108" i="27"/>
  <c r="G1294"/>
  <c r="H364" s="1"/>
  <c r="F943" i="34"/>
  <c r="F1110" s="1"/>
  <c r="G275" s="1"/>
  <c r="G1130"/>
  <c r="H295" s="1"/>
  <c r="G963"/>
  <c r="H1009" i="27"/>
  <c r="H1195"/>
  <c r="F94" i="33"/>
  <c r="F112" s="1"/>
  <c r="G40" s="1"/>
  <c r="G30" i="31"/>
  <c r="G1279" i="27"/>
  <c r="H349" s="1"/>
  <c r="G1093"/>
  <c r="F878" i="34"/>
  <c r="F1045" s="1"/>
  <c r="G210" s="1"/>
  <c r="F1129"/>
  <c r="G294" s="1"/>
  <c r="G1121" i="27"/>
  <c r="G1307" s="1"/>
  <c r="H377" s="1"/>
  <c r="F1059"/>
  <c r="F1245"/>
  <c r="G315" s="1"/>
  <c r="H1095"/>
  <c r="H1281"/>
  <c r="G55" i="36"/>
  <c r="G57" s="1"/>
  <c r="G65" i="35" s="1"/>
  <c r="F881" i="34"/>
  <c r="F1048" s="1"/>
  <c r="G213" s="1"/>
  <c r="G966"/>
  <c r="G1133" s="1"/>
  <c r="H298" s="1"/>
  <c r="G1246" i="27"/>
  <c r="H316" s="1"/>
  <c r="H87" i="34"/>
  <c r="F897"/>
  <c r="F1064" s="1"/>
  <c r="G229" s="1"/>
  <c r="G867"/>
  <c r="G1034" s="1"/>
  <c r="H199" s="1"/>
  <c r="G990" i="27"/>
  <c r="G1176"/>
  <c r="H246" s="1"/>
  <c r="F1112" i="34"/>
  <c r="G277" s="1"/>
  <c r="G1104" i="27"/>
  <c r="G1290" s="1"/>
  <c r="H360" s="1"/>
  <c r="F981"/>
  <c r="F1167" s="1"/>
  <c r="G237" s="1"/>
  <c r="D1306" i="9"/>
  <c r="E376" s="1"/>
  <c r="G971" i="27"/>
  <c r="G1157"/>
  <c r="H227" s="1"/>
  <c r="F135" i="39"/>
  <c r="F178" s="1"/>
  <c r="G117" i="33"/>
  <c r="H45" s="1"/>
  <c r="H97"/>
  <c r="H115" s="1"/>
  <c r="F929" i="34"/>
  <c r="F1096" s="1"/>
  <c r="G261" s="1"/>
  <c r="G130"/>
  <c r="F964"/>
  <c r="F1131" s="1"/>
  <c r="G296" s="1"/>
  <c r="H987" i="27"/>
  <c r="H1173" s="1"/>
  <c r="G1078"/>
  <c r="G1264"/>
  <c r="H334" s="1"/>
  <c r="E1140"/>
  <c r="F210" s="1"/>
  <c r="F1065"/>
  <c r="F1251" s="1"/>
  <c r="G321" s="1"/>
  <c r="H1044"/>
  <c r="H1230" s="1"/>
  <c r="H997"/>
  <c r="H1183" s="1"/>
  <c r="G1083"/>
  <c r="G1269" s="1"/>
  <c r="H339" s="1"/>
  <c r="G955" i="34"/>
  <c r="G1122" s="1"/>
  <c r="H287" s="1"/>
  <c r="H61" i="23"/>
  <c r="G8" i="39"/>
  <c r="F128"/>
  <c r="F171" s="1"/>
  <c r="H37" i="32"/>
  <c r="H77" i="34"/>
  <c r="F138" i="9"/>
  <c r="E39" i="43"/>
  <c r="E22"/>
  <c r="E23" s="1"/>
  <c r="F18" s="1"/>
  <c r="H103" i="33"/>
  <c r="H121"/>
  <c r="F872" i="34"/>
  <c r="F1039"/>
  <c r="G204" s="1"/>
  <c r="G1045" i="27"/>
  <c r="G1231" s="1"/>
  <c r="H301" s="1"/>
  <c r="G993" i="34"/>
  <c r="G1160" s="1"/>
  <c r="H325" s="1"/>
  <c r="G176" i="9"/>
  <c r="F856" i="34"/>
  <c r="F1023" s="1"/>
  <c r="G188" s="1"/>
  <c r="F1033" i="27"/>
  <c r="F1219" s="1"/>
  <c r="G289" s="1"/>
  <c r="I40" i="38"/>
  <c r="I59"/>
  <c r="I32"/>
  <c r="I22"/>
  <c r="I36"/>
  <c r="I24"/>
  <c r="I57"/>
  <c r="I50"/>
  <c r="I26"/>
  <c r="I51"/>
  <c r="I46"/>
  <c r="I31"/>
  <c r="I20"/>
  <c r="I60"/>
  <c r="I52"/>
  <c r="I47"/>
  <c r="I27"/>
  <c r="I21"/>
  <c r="I53"/>
  <c r="I48"/>
  <c r="I29"/>
  <c r="I30"/>
  <c r="I54"/>
  <c r="I42"/>
  <c r="I37"/>
  <c r="I25"/>
  <c r="I34"/>
  <c r="I23"/>
  <c r="I56"/>
  <c r="I45"/>
  <c r="I41"/>
  <c r="I55"/>
  <c r="I44"/>
  <c r="I38"/>
  <c r="I35"/>
  <c r="I58"/>
  <c r="I39"/>
  <c r="I28"/>
  <c r="I33"/>
  <c r="I49"/>
  <c r="I43"/>
  <c r="F57" i="36"/>
  <c r="F65" i="35" s="1"/>
  <c r="F868" i="34"/>
  <c r="F1035" s="1"/>
  <c r="G200" s="1"/>
  <c r="G34"/>
  <c r="F948"/>
  <c r="F1115" s="1"/>
  <c r="G280" s="1"/>
  <c r="G114"/>
  <c r="F876"/>
  <c r="F1043"/>
  <c r="G208" s="1"/>
  <c r="G124" i="29"/>
  <c r="G148" s="1"/>
  <c r="H52" s="1"/>
  <c r="G1016" i="27"/>
  <c r="G1202" s="1"/>
  <c r="H272" s="1"/>
  <c r="G30" i="23"/>
  <c r="E61" i="42"/>
  <c r="E93" s="1"/>
  <c r="F36" i="23"/>
  <c r="F38" s="1"/>
  <c r="F32" i="4" s="1"/>
  <c r="F35" s="1"/>
  <c r="F65" i="23"/>
  <c r="F67" s="1"/>
  <c r="F66" i="4" s="1"/>
  <c r="H26" i="33"/>
  <c r="H183" i="32"/>
  <c r="G914" i="34"/>
  <c r="G1081" s="1"/>
  <c r="H246" s="1"/>
  <c r="H75"/>
  <c r="G1012" i="27"/>
  <c r="G1198"/>
  <c r="H268" s="1"/>
  <c r="G93" i="32"/>
  <c r="H912" i="34"/>
  <c r="H1079"/>
  <c r="G941"/>
  <c r="G1108"/>
  <c r="H273" s="1"/>
  <c r="F1023" i="27"/>
  <c r="F1209"/>
  <c r="G279" s="1"/>
  <c r="F1126"/>
  <c r="F1312" s="1"/>
  <c r="G382" s="1"/>
  <c r="F33" i="42"/>
  <c r="F34" s="1"/>
  <c r="G29" s="1"/>
  <c r="H167" i="34"/>
  <c r="H169" i="32"/>
  <c r="H150" i="30"/>
  <c r="G63" i="2"/>
  <c r="G64" s="1"/>
  <c r="G69" s="1"/>
  <c r="H61"/>
  <c r="G1274" i="27"/>
  <c r="H344" s="1"/>
  <c r="F967"/>
  <c r="F1153" s="1"/>
  <c r="G223" s="1"/>
  <c r="G959"/>
  <c r="G1145" s="1"/>
  <c r="H215" s="1"/>
  <c r="F1013" i="34"/>
  <c r="F1180" s="1"/>
  <c r="G345" s="1"/>
  <c r="H22" i="33"/>
  <c r="G992" i="27"/>
  <c r="G1178" s="1"/>
  <c r="H248" s="1"/>
  <c r="F999"/>
  <c r="F1185"/>
  <c r="G255" s="1"/>
  <c r="H66" i="23"/>
  <c r="F1024" i="27"/>
  <c r="F1210" s="1"/>
  <c r="G280" s="1"/>
  <c r="G1097"/>
  <c r="G1283" s="1"/>
  <c r="H353" s="1"/>
  <c r="G1099" i="34"/>
  <c r="H264" s="1"/>
  <c r="E39" i="44"/>
  <c r="E22"/>
  <c r="E23" s="1"/>
  <c r="F18" s="1"/>
  <c r="F21" s="1"/>
  <c r="F39" s="1"/>
  <c r="G111" i="33"/>
  <c r="H39" s="1"/>
  <c r="G93"/>
  <c r="G992" i="34"/>
  <c r="G1159" s="1"/>
  <c r="H324" s="1"/>
  <c r="H158"/>
  <c r="G26" i="31"/>
  <c r="H197" i="27"/>
  <c r="G883" i="34"/>
  <c r="G1050" s="1"/>
  <c r="H215" s="1"/>
  <c r="F866"/>
  <c r="F1033"/>
  <c r="G198" s="1"/>
  <c r="G140" i="29"/>
  <c r="G116"/>
  <c r="G1049" i="27"/>
  <c r="G1235" s="1"/>
  <c r="H305" s="1"/>
  <c r="H119"/>
  <c r="H986"/>
  <c r="H1172"/>
  <c r="F1019"/>
  <c r="F1205" s="1"/>
  <c r="G275" s="1"/>
  <c r="H109" i="32"/>
  <c r="F898" i="34"/>
  <c r="F1065" s="1"/>
  <c r="G230" s="1"/>
  <c r="H29" i="3"/>
  <c r="E1076" i="27"/>
  <c r="E1262" s="1"/>
  <c r="F332" s="1"/>
  <c r="F146"/>
  <c r="H26" i="36"/>
  <c r="G18"/>
  <c r="J18" s="1"/>
  <c r="H932" i="34"/>
  <c r="H60" i="23"/>
  <c r="G7" i="39"/>
  <c r="G1040" i="27"/>
  <c r="G1226" s="1"/>
  <c r="H296" s="1"/>
  <c r="E41" i="42"/>
  <c r="E73" s="1"/>
  <c r="E22"/>
  <c r="E23" s="1"/>
  <c r="F18" s="1"/>
  <c r="H1004" i="34"/>
  <c r="H1171" s="1"/>
  <c r="E1121"/>
  <c r="F286" s="1"/>
  <c r="G1036"/>
  <c r="H201" s="1"/>
  <c r="H1107" i="27"/>
  <c r="H1293" s="1"/>
  <c r="I12" i="43"/>
  <c r="D48" s="1"/>
  <c r="H151" i="32"/>
  <c r="G108"/>
  <c r="F1026" i="27"/>
  <c r="F1212" s="1"/>
  <c r="G282" s="1"/>
  <c r="G96"/>
  <c r="F1008"/>
  <c r="F1194"/>
  <c r="G264" s="1"/>
  <c r="H110" i="32"/>
  <c r="H131"/>
  <c r="G32"/>
  <c r="G1055" i="27"/>
  <c r="G1241"/>
  <c r="H311" s="1"/>
  <c r="G166" i="34"/>
  <c r="G168" i="32"/>
  <c r="H149" i="30"/>
  <c r="G1243" i="27"/>
  <c r="H313" s="1"/>
  <c r="G1057"/>
  <c r="E1110"/>
  <c r="E1296"/>
  <c r="F366" s="1"/>
  <c r="E118" i="29"/>
  <c r="E137" s="1"/>
  <c r="E13" s="1"/>
  <c r="E142"/>
  <c r="E65"/>
  <c r="E9" s="1"/>
  <c r="E16" s="1"/>
  <c r="H148" i="9"/>
  <c r="F973" i="27"/>
  <c r="F1159"/>
  <c r="G229" s="1"/>
  <c r="H105" i="9"/>
  <c r="F1048" i="27"/>
  <c r="F1234"/>
  <c r="G304" s="1"/>
  <c r="G1087"/>
  <c r="G1273" s="1"/>
  <c r="H343" s="1"/>
  <c r="H157"/>
  <c r="E128" i="39"/>
  <c r="E171" s="1"/>
  <c r="F894" i="34"/>
  <c r="F1061" s="1"/>
  <c r="G226" s="1"/>
  <c r="G66" i="23"/>
  <c r="F188" i="9"/>
  <c r="D96" i="3"/>
  <c r="D104"/>
  <c r="D97"/>
  <c r="D105"/>
  <c r="D99"/>
  <c r="D100"/>
  <c r="D106"/>
  <c r="D92"/>
  <c r="D95"/>
  <c r="D98"/>
  <c r="D108"/>
  <c r="D91"/>
  <c r="D107"/>
  <c r="D103"/>
  <c r="D109"/>
  <c r="D93"/>
  <c r="D94"/>
  <c r="D101"/>
  <c r="D102"/>
  <c r="D110"/>
  <c r="G927" i="34"/>
  <c r="G1094" s="1"/>
  <c r="H259" s="1"/>
  <c r="H93"/>
  <c r="F925"/>
  <c r="F1092" s="1"/>
  <c r="G257" s="1"/>
  <c r="G1263" i="27"/>
  <c r="H333" s="1"/>
  <c r="F1005" i="34"/>
  <c r="F1172" s="1"/>
  <c r="G337" s="1"/>
  <c r="G1239" i="27"/>
  <c r="H309" s="1"/>
  <c r="G1053"/>
  <c r="G989" i="34"/>
  <c r="H155"/>
  <c r="G131" i="29"/>
  <c r="G155" s="1"/>
  <c r="H59" s="1"/>
  <c r="G968" i="27"/>
  <c r="G1154" s="1"/>
  <c r="H224" s="1"/>
  <c r="H55" i="36"/>
  <c r="F915" i="34"/>
  <c r="F1082"/>
  <c r="G247" s="1"/>
  <c r="F1187" i="27"/>
  <c r="G257" s="1"/>
  <c r="F1001"/>
  <c r="E81" i="42"/>
  <c r="G1021" i="27"/>
  <c r="G1207"/>
  <c r="H277" s="1"/>
  <c r="G939" i="34"/>
  <c r="G1106"/>
  <c r="H271" s="1"/>
  <c r="G918"/>
  <c r="G1085" s="1"/>
  <c r="H250" s="1"/>
  <c r="H33" i="31"/>
  <c r="G1072" i="27"/>
  <c r="G1258"/>
  <c r="H328" s="1"/>
  <c r="G986" i="34"/>
  <c r="G1153" s="1"/>
  <c r="H318" s="1"/>
  <c r="F1069"/>
  <c r="G234" s="1"/>
  <c r="G902" s="1"/>
  <c r="G1010" i="27"/>
  <c r="G1196"/>
  <c r="H266" s="1"/>
  <c r="G130" i="32"/>
  <c r="H976" i="34"/>
  <c r="F1049"/>
  <c r="G214" s="1"/>
  <c r="F882"/>
  <c r="H153" i="9"/>
  <c r="F1188" i="27"/>
  <c r="G258" s="1"/>
  <c r="F1002"/>
  <c r="F1133"/>
  <c r="F1319"/>
  <c r="G389" s="1"/>
  <c r="E207"/>
  <c r="D1320"/>
  <c r="D14" s="1"/>
  <c r="D16" s="1"/>
  <c r="H1014" i="34"/>
  <c r="H181"/>
  <c r="H1168" i="27"/>
  <c r="H982"/>
  <c r="H160" i="34"/>
  <c r="G994"/>
  <c r="G1161" s="1"/>
  <c r="H326" s="1"/>
  <c r="F969"/>
  <c r="F1136" s="1"/>
  <c r="G301" s="1"/>
  <c r="G135"/>
  <c r="G1131" i="27"/>
  <c r="G1317" s="1"/>
  <c r="H387" s="1"/>
  <c r="H970" i="34"/>
  <c r="H1137" s="1"/>
  <c r="H70" i="32"/>
  <c r="G140"/>
  <c r="F859" i="34"/>
  <c r="F1026" s="1"/>
  <c r="G191" s="1"/>
  <c r="G1091" i="27"/>
  <c r="G1277" s="1"/>
  <c r="H347" s="1"/>
  <c r="E37" i="4"/>
  <c r="E71" s="1"/>
  <c r="I17" i="43"/>
  <c r="F1105" i="27"/>
  <c r="F1291" s="1"/>
  <c r="G361" s="1"/>
  <c r="G175"/>
  <c r="H50" i="36"/>
  <c r="G10" i="39"/>
  <c r="G86" i="42"/>
  <c r="G90" s="1"/>
  <c r="H1010" i="34"/>
  <c r="H1177" s="1"/>
  <c r="G946"/>
  <c r="G1113" s="1"/>
  <c r="H278" s="1"/>
  <c r="H112"/>
  <c r="H186" i="26"/>
  <c r="G203" i="9"/>
  <c r="G202" i="27"/>
  <c r="G136" i="32"/>
  <c r="F1174" i="34"/>
  <c r="G339" s="1"/>
  <c r="F1007"/>
  <c r="F23" i="32"/>
  <c r="H1060" i="27"/>
  <c r="F32" i="36"/>
  <c r="F32" i="35" s="1"/>
  <c r="F35" s="1"/>
  <c r="H165" i="34"/>
  <c r="G43" i="9"/>
  <c r="G1051" i="27"/>
  <c r="G1237"/>
  <c r="H307" s="1"/>
  <c r="G31" i="23"/>
  <c r="E109" i="39"/>
  <c r="E152" s="1"/>
  <c r="H171" i="32"/>
  <c r="F96" i="33"/>
  <c r="F114" s="1"/>
  <c r="G42" s="1"/>
  <c r="F909" i="34"/>
  <c r="F1076" s="1"/>
  <c r="G241" s="1"/>
  <c r="G116" i="32"/>
  <c r="H34" i="33"/>
  <c r="D924" i="9"/>
  <c r="H89" i="32"/>
  <c r="G67" i="23" l="1"/>
  <c r="G66" i="4" s="1"/>
  <c r="D48" i="44"/>
  <c r="D46" i="43"/>
  <c r="D48" i="42"/>
  <c r="D1314" i="9"/>
  <c r="E384" s="1"/>
  <c r="E64" i="42"/>
  <c r="E66" s="1"/>
  <c r="E51" s="1"/>
  <c r="E96"/>
  <c r="E98" s="1"/>
  <c r="E40" i="43"/>
  <c r="E41" s="1"/>
  <c r="E44" s="1"/>
  <c r="E50" s="1"/>
  <c r="D45" i="44"/>
  <c r="E67" i="23"/>
  <c r="E66" i="4" s="1"/>
  <c r="G1033" i="27"/>
  <c r="G1219" s="1"/>
  <c r="H289" s="1"/>
  <c r="G1168" i="34"/>
  <c r="H333" s="1"/>
  <c r="H1001" s="1"/>
  <c r="G1001"/>
  <c r="H994" i="27"/>
  <c r="H1180" s="1"/>
  <c r="G1094"/>
  <c r="G1280" s="1"/>
  <c r="H350" s="1"/>
  <c r="G951" i="34"/>
  <c r="G1118" s="1"/>
  <c r="H283" s="1"/>
  <c r="H1095"/>
  <c r="H928"/>
  <c r="F25" i="42"/>
  <c r="F22"/>
  <c r="F21"/>
  <c r="F41" s="1"/>
  <c r="F73" s="1"/>
  <c r="F25" i="43"/>
  <c r="F21"/>
  <c r="F39" s="1"/>
  <c r="G897" i="34"/>
  <c r="G1064" s="1"/>
  <c r="H229" s="1"/>
  <c r="G94" i="33"/>
  <c r="G112" s="1"/>
  <c r="H40" s="1"/>
  <c r="H863" i="34"/>
  <c r="H1030"/>
  <c r="G981"/>
  <c r="G1148" s="1"/>
  <c r="H313" s="1"/>
  <c r="H1008"/>
  <c r="H1175" s="1"/>
  <c r="H978"/>
  <c r="H1145" s="1"/>
  <c r="G1180"/>
  <c r="H345" s="1"/>
  <c r="G1013"/>
  <c r="E932" i="9"/>
  <c r="E1118" s="1"/>
  <c r="E1304" s="1"/>
  <c r="F374" s="1"/>
  <c r="G1118" i="27"/>
  <c r="G1304"/>
  <c r="H374" s="1"/>
  <c r="G967" i="34"/>
  <c r="G1134" s="1"/>
  <c r="H299" s="1"/>
  <c r="H1071" i="27"/>
  <c r="H1257" s="1"/>
  <c r="G1028" i="34"/>
  <c r="H193" s="1"/>
  <c r="G861"/>
  <c r="H1097" i="27"/>
  <c r="H1283" s="1"/>
  <c r="H1121"/>
  <c r="H1307" s="1"/>
  <c r="G1126" i="34"/>
  <c r="H291" s="1"/>
  <c r="G959"/>
  <c r="G1288" i="27"/>
  <c r="H358" s="1"/>
  <c r="G1102"/>
  <c r="G1144" i="34"/>
  <c r="H309" s="1"/>
  <c r="G977"/>
  <c r="G1114" i="27"/>
  <c r="G1300" s="1"/>
  <c r="H370" s="1"/>
  <c r="G1003" i="34"/>
  <c r="G1170" s="1"/>
  <c r="H335" s="1"/>
  <c r="H979" i="27"/>
  <c r="H1165" s="1"/>
  <c r="H1173" i="34"/>
  <c r="H1006"/>
  <c r="H905"/>
  <c r="H1072"/>
  <c r="E926" i="9"/>
  <c r="E1112"/>
  <c r="E1298" s="1"/>
  <c r="F368" s="1"/>
  <c r="H1074" i="27"/>
  <c r="H1260" s="1"/>
  <c r="G909" i="34"/>
  <c r="G1076" s="1"/>
  <c r="H241" s="1"/>
  <c r="H1085"/>
  <c r="H918"/>
  <c r="G898"/>
  <c r="G1065" s="1"/>
  <c r="H230" s="1"/>
  <c r="G1024" i="27"/>
  <c r="G1210"/>
  <c r="H280" s="1"/>
  <c r="G967"/>
  <c r="G1153" s="1"/>
  <c r="H223" s="1"/>
  <c r="G1312"/>
  <c r="H382" s="1"/>
  <c r="G1126"/>
  <c r="H1045"/>
  <c r="H1231" s="1"/>
  <c r="G929" i="34"/>
  <c r="G1096" s="1"/>
  <c r="H261" s="1"/>
  <c r="H1104" i="27"/>
  <c r="H1290"/>
  <c r="H1133" i="34"/>
  <c r="H966"/>
  <c r="H1056" i="27"/>
  <c r="H1242"/>
  <c r="H944" i="34"/>
  <c r="H1111" s="1"/>
  <c r="G1124"/>
  <c r="H289" s="1"/>
  <c r="H1179"/>
  <c r="H1012"/>
  <c r="G884"/>
  <c r="G1051" s="1"/>
  <c r="H216" s="1"/>
  <c r="G1240" i="27"/>
  <c r="H310" s="1"/>
  <c r="G1054"/>
  <c r="H953" i="34"/>
  <c r="H1120" s="1"/>
  <c r="G1120" i="27"/>
  <c r="G1306" s="1"/>
  <c r="H376" s="1"/>
  <c r="G1284"/>
  <c r="H354" s="1"/>
  <c r="G1098"/>
  <c r="H1013"/>
  <c r="H1199" s="1"/>
  <c r="G1020"/>
  <c r="G1206"/>
  <c r="H276" s="1"/>
  <c r="G911" i="34"/>
  <c r="G1078" s="1"/>
  <c r="H243" s="1"/>
  <c r="H913"/>
  <c r="H1080" s="1"/>
  <c r="H1047"/>
  <c r="H880"/>
  <c r="H1061" i="27"/>
  <c r="H1247"/>
  <c r="H58" i="43"/>
  <c r="H47"/>
  <c r="H955" i="34"/>
  <c r="H1122"/>
  <c r="G877"/>
  <c r="G1044" s="1"/>
  <c r="H209" s="1"/>
  <c r="H1299" i="27"/>
  <c r="H953"/>
  <c r="H1139"/>
  <c r="H1083"/>
  <c r="H1269" s="1"/>
  <c r="H1042"/>
  <c r="H1228"/>
  <c r="H1159" i="34"/>
  <c r="H959" i="27"/>
  <c r="H1145"/>
  <c r="G981"/>
  <c r="G1167" s="1"/>
  <c r="H237" s="1"/>
  <c r="G1172" i="34"/>
  <c r="H337" s="1"/>
  <c r="G1005"/>
  <c r="G1065" i="27"/>
  <c r="G1251" s="1"/>
  <c r="H321" s="1"/>
  <c r="G881" i="34"/>
  <c r="G1048" s="1"/>
  <c r="H213" s="1"/>
  <c r="G878"/>
  <c r="G1045" s="1"/>
  <c r="H210" s="1"/>
  <c r="G987"/>
  <c r="G1154" s="1"/>
  <c r="H319" s="1"/>
  <c r="G1035" i="27"/>
  <c r="G1221" s="1"/>
  <c r="H291" s="1"/>
  <c r="G900" i="34"/>
  <c r="G1067" s="1"/>
  <c r="H232" s="1"/>
  <c r="H935"/>
  <c r="H1102" s="1"/>
  <c r="H975" i="27"/>
  <c r="H1161"/>
  <c r="G1057" i="34"/>
  <c r="H222" s="1"/>
  <c r="G890"/>
  <c r="G893"/>
  <c r="G1060" s="1"/>
  <c r="H225" s="1"/>
  <c r="H1007" i="27"/>
  <c r="H1193" s="1"/>
  <c r="G886" i="34"/>
  <c r="G1053" s="1"/>
  <c r="H218" s="1"/>
  <c r="G1055"/>
  <c r="H220" s="1"/>
  <c r="G888"/>
  <c r="G894"/>
  <c r="G1061" s="1"/>
  <c r="H226" s="1"/>
  <c r="H1034"/>
  <c r="H867"/>
  <c r="H1091" i="27"/>
  <c r="H1277" s="1"/>
  <c r="G907" i="34"/>
  <c r="G1074" s="1"/>
  <c r="H239" s="1"/>
  <c r="G859"/>
  <c r="G1026" s="1"/>
  <c r="H191" s="1"/>
  <c r="G1071"/>
  <c r="H236" s="1"/>
  <c r="G904"/>
  <c r="G947"/>
  <c r="G1114"/>
  <c r="H279" s="1"/>
  <c r="G104" i="33"/>
  <c r="G122" s="1"/>
  <c r="H50" s="1"/>
  <c r="H1040" i="27"/>
  <c r="H1226" s="1"/>
  <c r="G34" i="42"/>
  <c r="H29" s="1"/>
  <c r="G33"/>
  <c r="G1037" i="27"/>
  <c r="G1223" s="1"/>
  <c r="H293" s="1"/>
  <c r="H1131"/>
  <c r="H1317" s="1"/>
  <c r="G1019"/>
  <c r="G1205" s="1"/>
  <c r="H275" s="1"/>
  <c r="E928" i="9"/>
  <c r="E1114"/>
  <c r="H1016" i="27"/>
  <c r="H1202"/>
  <c r="G62" i="41"/>
  <c r="G21"/>
  <c r="G68" i="35"/>
  <c r="G1110" i="34"/>
  <c r="H275" s="1"/>
  <c r="G943"/>
  <c r="H1032" i="27"/>
  <c r="H1218"/>
  <c r="G1011" i="34"/>
  <c r="G1178" s="1"/>
  <c r="H343" s="1"/>
  <c r="G1238" i="27"/>
  <c r="H308" s="1"/>
  <c r="G1052"/>
  <c r="G1046"/>
  <c r="G1232" s="1"/>
  <c r="H302" s="1"/>
  <c r="H938" i="34"/>
  <c r="H1105"/>
  <c r="G961"/>
  <c r="G1128" s="1"/>
  <c r="H293" s="1"/>
  <c r="H1116"/>
  <c r="H949"/>
  <c r="G999"/>
  <c r="G1166" s="1"/>
  <c r="H331" s="1"/>
  <c r="H857"/>
  <c r="H1024"/>
  <c r="H899"/>
  <c r="H1066" s="1"/>
  <c r="H113" i="33"/>
  <c r="H95"/>
  <c r="G997" i="34"/>
  <c r="G1164" s="1"/>
  <c r="H329" s="1"/>
  <c r="G991"/>
  <c r="G1158" s="1"/>
  <c r="H323" s="1"/>
  <c r="H980" i="27"/>
  <c r="H1166"/>
  <c r="H155" i="29"/>
  <c r="H131"/>
  <c r="H992" i="27"/>
  <c r="H1178" s="1"/>
  <c r="H879" i="34"/>
  <c r="H1046" s="1"/>
  <c r="H988"/>
  <c r="H1155" s="1"/>
  <c r="H1254" i="27"/>
  <c r="H1068"/>
  <c r="H98" i="33"/>
  <c r="H116" s="1"/>
  <c r="G1025" i="27"/>
  <c r="G1211"/>
  <c r="H281" s="1"/>
  <c r="G856" i="34"/>
  <c r="G1023" s="1"/>
  <c r="H188" s="1"/>
  <c r="G975"/>
  <c r="G1142" s="1"/>
  <c r="H307" s="1"/>
  <c r="H1016"/>
  <c r="H1183" s="1"/>
  <c r="H1103" i="27"/>
  <c r="H1289" s="1"/>
  <c r="H1054" i="34"/>
  <c r="H887"/>
  <c r="H1235" i="27"/>
  <c r="G1123"/>
  <c r="G1309" s="1"/>
  <c r="H379" s="1"/>
  <c r="H993" i="34"/>
  <c r="H1160" s="1"/>
  <c r="H1295" i="27"/>
  <c r="G96" i="33"/>
  <c r="G114" s="1"/>
  <c r="H42" s="1"/>
  <c r="E940" i="9"/>
  <c r="E1126" s="1"/>
  <c r="H986" i="34"/>
  <c r="H1153" s="1"/>
  <c r="H968" i="27"/>
  <c r="H1154"/>
  <c r="G925" i="34"/>
  <c r="G1092"/>
  <c r="H257" s="1"/>
  <c r="H883"/>
  <c r="H1050" s="1"/>
  <c r="H914"/>
  <c r="H1081" s="1"/>
  <c r="H124" i="29"/>
  <c r="H148" s="1"/>
  <c r="H862" i="34"/>
  <c r="H1029" s="1"/>
  <c r="G921"/>
  <c r="G1088" s="1"/>
  <c r="H253" s="1"/>
  <c r="G123" i="33"/>
  <c r="H51" s="1"/>
  <c r="F1253" i="27"/>
  <c r="G323" s="1"/>
  <c r="F1142"/>
  <c r="G212" s="1"/>
  <c r="G1119"/>
  <c r="G1305" s="1"/>
  <c r="H375" s="1"/>
  <c r="G1140" i="34"/>
  <c r="H305" s="1"/>
  <c r="G973"/>
  <c r="H990"/>
  <c r="H1157" s="1"/>
  <c r="G1100" i="27"/>
  <c r="G1286"/>
  <c r="H356" s="1"/>
  <c r="G919" i="34"/>
  <c r="G1086" s="1"/>
  <c r="H251" s="1"/>
  <c r="H1098"/>
  <c r="H931"/>
  <c r="G1009"/>
  <c r="G1176" s="1"/>
  <c r="H341" s="1"/>
  <c r="H1066" i="27"/>
  <c r="H1252"/>
  <c r="H922" i="34"/>
  <c r="H1089"/>
  <c r="G1259" i="27"/>
  <c r="H329" s="1"/>
  <c r="G1073"/>
  <c r="G906" i="34"/>
  <c r="G1073" s="1"/>
  <c r="H238" s="1"/>
  <c r="H31" i="23"/>
  <c r="G7" i="38"/>
  <c r="G22" i="23"/>
  <c r="J22" s="1"/>
  <c r="G1001" i="27"/>
  <c r="G1187" s="1"/>
  <c r="H257" s="1"/>
  <c r="H1087"/>
  <c r="H1273" s="1"/>
  <c r="H93" i="32"/>
  <c r="H1093" i="27"/>
  <c r="H1279" s="1"/>
  <c r="D1061" i="9"/>
  <c r="D1247" s="1"/>
  <c r="E317" s="1"/>
  <c r="D1047"/>
  <c r="D1233" s="1"/>
  <c r="E303" s="1"/>
  <c r="D961"/>
  <c r="D1147" s="1"/>
  <c r="E217" s="1"/>
  <c r="D1102"/>
  <c r="D1288" s="1"/>
  <c r="E358" s="1"/>
  <c r="G666" i="34"/>
  <c r="G685" s="1"/>
  <c r="G11" s="1"/>
  <c r="G668" i="32"/>
  <c r="G687" s="1"/>
  <c r="G11" s="1"/>
  <c r="D98" i="31"/>
  <c r="D116" s="1"/>
  <c r="E44" s="1"/>
  <c r="H33" i="44"/>
  <c r="H34" s="1"/>
  <c r="I29" s="1"/>
  <c r="D870" i="32"/>
  <c r="D1037" s="1"/>
  <c r="E202" s="1"/>
  <c r="D898"/>
  <c r="D1065" s="1"/>
  <c r="E230" s="1"/>
  <c r="D969"/>
  <c r="D1136" s="1"/>
  <c r="E301" s="1"/>
  <c r="D983"/>
  <c r="D1150" s="1"/>
  <c r="E315" s="1"/>
  <c r="G35" i="35"/>
  <c r="G21" i="20"/>
  <c r="G915" i="34"/>
  <c r="G1082"/>
  <c r="H247" s="1"/>
  <c r="G866"/>
  <c r="G1033" s="1"/>
  <c r="H198" s="1"/>
  <c r="G1023" i="27"/>
  <c r="G1209"/>
  <c r="H279" s="1"/>
  <c r="G964" i="34"/>
  <c r="G1131" s="1"/>
  <c r="H296" s="1"/>
  <c r="H130"/>
  <c r="D974" i="9"/>
  <c r="D1160" s="1"/>
  <c r="E230" s="1"/>
  <c r="D1106"/>
  <c r="D1292" s="1"/>
  <c r="E362" s="1"/>
  <c r="D1071"/>
  <c r="D1257" s="1"/>
  <c r="E327" s="1"/>
  <c r="D1131"/>
  <c r="D1317" s="1"/>
  <c r="E387" s="1"/>
  <c r="D1084"/>
  <c r="D1270" s="1"/>
  <c r="E340" s="1"/>
  <c r="G760"/>
  <c r="G762" s="1"/>
  <c r="G760" i="27"/>
  <c r="G762" s="1"/>
  <c r="G11" s="1"/>
  <c r="H17" s="1"/>
  <c r="D94" i="31"/>
  <c r="D112" s="1"/>
  <c r="E40" s="1"/>
  <c r="D910" i="32"/>
  <c r="D1077" s="1"/>
  <c r="E242" s="1"/>
  <c r="D878"/>
  <c r="D1045" s="1"/>
  <c r="E210" s="1"/>
  <c r="D858"/>
  <c r="D1025" s="1"/>
  <c r="E190" s="1"/>
  <c r="D1006"/>
  <c r="D1173" s="1"/>
  <c r="E338" s="1"/>
  <c r="D879"/>
  <c r="D1046" s="1"/>
  <c r="E211" s="1"/>
  <c r="D1020"/>
  <c r="D1187" s="1"/>
  <c r="E352" s="1"/>
  <c r="D881"/>
  <c r="D1048" s="1"/>
  <c r="E213" s="1"/>
  <c r="H84"/>
  <c r="H1051" i="27"/>
  <c r="H1237" s="1"/>
  <c r="H1010"/>
  <c r="H1196"/>
  <c r="D133" i="3"/>
  <c r="D157" s="1"/>
  <c r="E61" s="1"/>
  <c r="G1048" i="27"/>
  <c r="G1234" s="1"/>
  <c r="H304" s="1"/>
  <c r="F1296"/>
  <c r="G366" s="1"/>
  <c r="F1110"/>
  <c r="H137" i="32"/>
  <c r="D986" i="9"/>
  <c r="D1172" s="1"/>
  <c r="E242" s="1"/>
  <c r="D1038"/>
  <c r="D1224" s="1"/>
  <c r="E294" s="1"/>
  <c r="D1124"/>
  <c r="D1310" s="1"/>
  <c r="E380" s="1"/>
  <c r="D1041"/>
  <c r="D1227" s="1"/>
  <c r="E297" s="1"/>
  <c r="D1123"/>
  <c r="D1309" s="1"/>
  <c r="E379" s="1"/>
  <c r="D956"/>
  <c r="D1142" s="1"/>
  <c r="E212" s="1"/>
  <c r="D952"/>
  <c r="D1138" s="1"/>
  <c r="E208" s="1"/>
  <c r="G965" i="34"/>
  <c r="G1132" s="1"/>
  <c r="H297" s="1"/>
  <c r="H1077"/>
  <c r="H917"/>
  <c r="H1084" s="1"/>
  <c r="D943" i="32"/>
  <c r="D1110" s="1"/>
  <c r="E275" s="1"/>
  <c r="D956"/>
  <c r="D1123" s="1"/>
  <c r="E288" s="1"/>
  <c r="D922"/>
  <c r="D1089" s="1"/>
  <c r="E254" s="1"/>
  <c r="D949"/>
  <c r="D1116" s="1"/>
  <c r="E281" s="1"/>
  <c r="D867"/>
  <c r="D1034" s="1"/>
  <c r="E199" s="1"/>
  <c r="D1010"/>
  <c r="D1177" s="1"/>
  <c r="E342" s="1"/>
  <c r="D915"/>
  <c r="D1082" s="1"/>
  <c r="E247" s="1"/>
  <c r="H973" i="34"/>
  <c r="G979"/>
  <c r="G1146"/>
  <c r="H311" s="1"/>
  <c r="H1028" i="27"/>
  <c r="H1214" s="1"/>
  <c r="G875" i="34"/>
  <c r="G1042" s="1"/>
  <c r="H207" s="1"/>
  <c r="G937"/>
  <c r="G1104"/>
  <c r="H269" s="1"/>
  <c r="H1021" i="27"/>
  <c r="H1207" s="1"/>
  <c r="D127" i="3"/>
  <c r="D151" s="1"/>
  <c r="E55" s="1"/>
  <c r="H1055" i="27"/>
  <c r="H1241" s="1"/>
  <c r="G999"/>
  <c r="G1185" s="1"/>
  <c r="H255" s="1"/>
  <c r="H941" i="34"/>
  <c r="H1108" s="1"/>
  <c r="E934" i="9"/>
  <c r="E1120" s="1"/>
  <c r="E1306" s="1"/>
  <c r="F376" s="1"/>
  <c r="H1108" i="27"/>
  <c r="H1294" s="1"/>
  <c r="D958" i="9"/>
  <c r="D1144" s="1"/>
  <c r="E214" s="1"/>
  <c r="D1062"/>
  <c r="D1248" s="1"/>
  <c r="E318" s="1"/>
  <c r="D1050"/>
  <c r="D1236" s="1"/>
  <c r="E306" s="1"/>
  <c r="D1030"/>
  <c r="D1216" s="1"/>
  <c r="E286" s="1"/>
  <c r="D1034"/>
  <c r="D1220" s="1"/>
  <c r="E290" s="1"/>
  <c r="D994"/>
  <c r="D1180" s="1"/>
  <c r="E250" s="1"/>
  <c r="D1026"/>
  <c r="D1212" s="1"/>
  <c r="E282" s="1"/>
  <c r="D1005"/>
  <c r="D1191" s="1"/>
  <c r="E261" s="1"/>
  <c r="D948"/>
  <c r="D12" s="1"/>
  <c r="D951"/>
  <c r="D1137" s="1"/>
  <c r="D1040"/>
  <c r="D1226" s="1"/>
  <c r="E296" s="1"/>
  <c r="D1056"/>
  <c r="D1242" s="1"/>
  <c r="E312" s="1"/>
  <c r="D1009"/>
  <c r="D1195" s="1"/>
  <c r="E265" s="1"/>
  <c r="D1100"/>
  <c r="D1286" s="1"/>
  <c r="E356" s="1"/>
  <c r="D1099"/>
  <c r="D1285" s="1"/>
  <c r="E355" s="1"/>
  <c r="D1105"/>
  <c r="D1291" s="1"/>
  <c r="E361" s="1"/>
  <c r="D1007"/>
  <c r="D1193" s="1"/>
  <c r="E263" s="1"/>
  <c r="D1067"/>
  <c r="D1253" s="1"/>
  <c r="E323" s="1"/>
  <c r="D1121"/>
  <c r="D1307" s="1"/>
  <c r="E377" s="1"/>
  <c r="D1001"/>
  <c r="D1187" s="1"/>
  <c r="E257" s="1"/>
  <c r="D1064"/>
  <c r="D1250" s="1"/>
  <c r="E320" s="1"/>
  <c r="D1059"/>
  <c r="D1245" s="1"/>
  <c r="E315" s="1"/>
  <c r="D995"/>
  <c r="D1181" s="1"/>
  <c r="E251" s="1"/>
  <c r="G945" i="34"/>
  <c r="G1112" s="1"/>
  <c r="H277" s="1"/>
  <c r="H111"/>
  <c r="H963" i="27"/>
  <c r="H1149" s="1"/>
  <c r="H1084"/>
  <c r="H1270" s="1"/>
  <c r="D101" i="31"/>
  <c r="D119" s="1"/>
  <c r="E47" s="1"/>
  <c r="H82" i="9"/>
  <c r="H203" i="27"/>
  <c r="H187" i="26"/>
  <c r="H204" i="9"/>
  <c r="E65" i="35"/>
  <c r="D930" i="32"/>
  <c r="D1097" s="1"/>
  <c r="E262" s="1"/>
  <c r="D984"/>
  <c r="D1151" s="1"/>
  <c r="E316" s="1"/>
  <c r="D940"/>
  <c r="D1107" s="1"/>
  <c r="E272" s="1"/>
  <c r="D938"/>
  <c r="D1105" s="1"/>
  <c r="E270" s="1"/>
  <c r="D925"/>
  <c r="D1092" s="1"/>
  <c r="E257" s="1"/>
  <c r="D999"/>
  <c r="D1166" s="1"/>
  <c r="E331" s="1"/>
  <c r="D987"/>
  <c r="D1154" s="1"/>
  <c r="E319" s="1"/>
  <c r="D982"/>
  <c r="D1149" s="1"/>
  <c r="E314" s="1"/>
  <c r="D918"/>
  <c r="D1085" s="1"/>
  <c r="E250" s="1"/>
  <c r="D862"/>
  <c r="D1029" s="1"/>
  <c r="E194" s="1"/>
  <c r="D905"/>
  <c r="D1072" s="1"/>
  <c r="E237" s="1"/>
  <c r="D913"/>
  <c r="D1080" s="1"/>
  <c r="E245" s="1"/>
  <c r="D1016"/>
  <c r="D1183" s="1"/>
  <c r="E348" s="1"/>
  <c r="D1014"/>
  <c r="D1181" s="1"/>
  <c r="E346" s="1"/>
  <c r="D939"/>
  <c r="D1106" s="1"/>
  <c r="E271" s="1"/>
  <c r="D1005"/>
  <c r="D1172" s="1"/>
  <c r="E337" s="1"/>
  <c r="D980"/>
  <c r="D1147" s="1"/>
  <c r="E312" s="1"/>
  <c r="D958"/>
  <c r="D1125" s="1"/>
  <c r="E290" s="1"/>
  <c r="D906"/>
  <c r="D1073" s="1"/>
  <c r="E238" s="1"/>
  <c r="D873"/>
  <c r="D1040" s="1"/>
  <c r="E205" s="1"/>
  <c r="D902"/>
  <c r="D1069" s="1"/>
  <c r="E234" s="1"/>
  <c r="H910" i="34"/>
  <c r="H761" i="9"/>
  <c r="H762" s="1"/>
  <c r="H761" i="27"/>
  <c r="H762" s="1"/>
  <c r="H11" s="1"/>
  <c r="D79" i="42"/>
  <c r="G1002" i="27"/>
  <c r="G1188" s="1"/>
  <c r="H258" s="1"/>
  <c r="D119" i="3"/>
  <c r="D143" s="1"/>
  <c r="E47" s="1"/>
  <c r="H44" i="29"/>
  <c r="G71" i="2"/>
  <c r="G118" i="41"/>
  <c r="H176" i="9"/>
  <c r="H1130" i="34"/>
  <c r="H963"/>
  <c r="H152" i="32"/>
  <c r="D1018" i="9"/>
  <c r="D1204" s="1"/>
  <c r="E274" s="1"/>
  <c r="D1082"/>
  <c r="D1268" s="1"/>
  <c r="E338" s="1"/>
  <c r="D1072"/>
  <c r="D1258" s="1"/>
  <c r="E328" s="1"/>
  <c r="D1031"/>
  <c r="D1217" s="1"/>
  <c r="E287" s="1"/>
  <c r="D1055"/>
  <c r="D1241" s="1"/>
  <c r="E311" s="1"/>
  <c r="D988"/>
  <c r="D1174"/>
  <c r="E244" s="1"/>
  <c r="D984"/>
  <c r="D1170" s="1"/>
  <c r="E240" s="1"/>
  <c r="H6" i="39"/>
  <c r="I59" i="23"/>
  <c r="H64"/>
  <c r="G102" i="33"/>
  <c r="G120" s="1"/>
  <c r="H48" s="1"/>
  <c r="G1313" i="27"/>
  <c r="H383" s="1"/>
  <c r="H1127" s="1"/>
  <c r="D974" i="32"/>
  <c r="D1141" s="1"/>
  <c r="E306" s="1"/>
  <c r="D1009"/>
  <c r="D1176" s="1"/>
  <c r="E341" s="1"/>
  <c r="D1002"/>
  <c r="D1169" s="1"/>
  <c r="E334" s="1"/>
  <c r="D932"/>
  <c r="D1099" s="1"/>
  <c r="E264" s="1"/>
  <c r="D868"/>
  <c r="D1035" s="1"/>
  <c r="E200" s="1"/>
  <c r="D929"/>
  <c r="D1096" s="1"/>
  <c r="E261" s="1"/>
  <c r="H983" i="34"/>
  <c r="H1150"/>
  <c r="H971"/>
  <c r="H1138" s="1"/>
  <c r="H995"/>
  <c r="H1162" s="1"/>
  <c r="H1086" i="27"/>
  <c r="H1272"/>
  <c r="H1090" i="34"/>
  <c r="G1027" i="27"/>
  <c r="G1213" s="1"/>
  <c r="H283" s="1"/>
  <c r="H989" i="34"/>
  <c r="D117" i="3"/>
  <c r="D141" s="1"/>
  <c r="E45" s="1"/>
  <c r="H971" i="27"/>
  <c r="H1157" s="1"/>
  <c r="E28" i="4"/>
  <c r="E25" i="41"/>
  <c r="E25" i="20"/>
  <c r="E66" i="41"/>
  <c r="E85" s="1"/>
  <c r="D1066" i="9"/>
  <c r="D1252" s="1"/>
  <c r="E322" s="1"/>
  <c r="D981"/>
  <c r="D1167" s="1"/>
  <c r="E237" s="1"/>
  <c r="D976"/>
  <c r="D1162" s="1"/>
  <c r="E232" s="1"/>
  <c r="D999"/>
  <c r="D1185" s="1"/>
  <c r="E255" s="1"/>
  <c r="D1039"/>
  <c r="D1225" s="1"/>
  <c r="E295" s="1"/>
  <c r="D1033"/>
  <c r="D1219" s="1"/>
  <c r="E289" s="1"/>
  <c r="D1011"/>
  <c r="D1197" s="1"/>
  <c r="E267" s="1"/>
  <c r="G933" i="34"/>
  <c r="G1100" s="1"/>
  <c r="H265" s="1"/>
  <c r="H82"/>
  <c r="G916"/>
  <c r="G1083" s="1"/>
  <c r="H248" s="1"/>
  <c r="F28" i="4"/>
  <c r="F66" i="41"/>
  <c r="F85" s="1"/>
  <c r="F25" i="20"/>
  <c r="F25" i="41"/>
  <c r="D104" i="31"/>
  <c r="D122" s="1"/>
  <c r="E50" s="1"/>
  <c r="G957" i="34"/>
  <c r="H123"/>
  <c r="H1077" i="27"/>
  <c r="H1263" s="1"/>
  <c r="D953" i="32"/>
  <c r="D1120" s="1"/>
  <c r="E285" s="1"/>
  <c r="D995"/>
  <c r="D1162" s="1"/>
  <c r="E327" s="1"/>
  <c r="D1017"/>
  <c r="D1184" s="1"/>
  <c r="E349" s="1"/>
  <c r="D976"/>
  <c r="D1143" s="1"/>
  <c r="E308" s="1"/>
  <c r="D989"/>
  <c r="D1156" s="1"/>
  <c r="E321" s="1"/>
  <c r="D1004"/>
  <c r="D1171" s="1"/>
  <c r="E336" s="1"/>
  <c r="D914"/>
  <c r="D1081" s="1"/>
  <c r="E246" s="1"/>
  <c r="D895"/>
  <c r="D1062" s="1"/>
  <c r="E227" s="1"/>
  <c r="D1000"/>
  <c r="D1167" s="1"/>
  <c r="E332" s="1"/>
  <c r="D1008"/>
  <c r="D1175" s="1"/>
  <c r="E340" s="1"/>
  <c r="D978"/>
  <c r="D1145" s="1"/>
  <c r="E310" s="1"/>
  <c r="D924"/>
  <c r="D1091" s="1"/>
  <c r="E256" s="1"/>
  <c r="D952"/>
  <c r="D1119" s="1"/>
  <c r="E284" s="1"/>
  <c r="G1236" i="27"/>
  <c r="H306" s="1"/>
  <c r="G1050"/>
  <c r="H1135" i="34"/>
  <c r="H968"/>
  <c r="H985"/>
  <c r="H1152"/>
  <c r="D1110" i="9"/>
  <c r="D1296" s="1"/>
  <c r="E366" s="1"/>
  <c r="D130" i="3"/>
  <c r="D154" s="1"/>
  <c r="E58" s="1"/>
  <c r="H1036" i="34"/>
  <c r="H992"/>
  <c r="H1078" i="27"/>
  <c r="H1264" s="1"/>
  <c r="G1129" i="34"/>
  <c r="H294" s="1"/>
  <c r="D1093" i="9"/>
  <c r="D1279" s="1"/>
  <c r="E349" s="1"/>
  <c r="D1116"/>
  <c r="D1302" s="1"/>
  <c r="E372" s="1"/>
  <c r="D965"/>
  <c r="D1151" s="1"/>
  <c r="E221" s="1"/>
  <c r="D970"/>
  <c r="D1156" s="1"/>
  <c r="E226" s="1"/>
  <c r="D1013"/>
  <c r="D1199" s="1"/>
  <c r="E269" s="1"/>
  <c r="D1125"/>
  <c r="D1311" s="1"/>
  <c r="E381" s="1"/>
  <c r="D1092"/>
  <c r="D1278" s="1"/>
  <c r="E348" s="1"/>
  <c r="D1079"/>
  <c r="D1265" s="1"/>
  <c r="E335" s="1"/>
  <c r="D967"/>
  <c r="D1153" s="1"/>
  <c r="E223" s="1"/>
  <c r="D1117"/>
  <c r="D1303" s="1"/>
  <c r="E373" s="1"/>
  <c r="D1023"/>
  <c r="D1209" s="1"/>
  <c r="E279" s="1"/>
  <c r="D1086"/>
  <c r="D1272" s="1"/>
  <c r="E342" s="1"/>
  <c r="D1017"/>
  <c r="D1203" s="1"/>
  <c r="E273" s="1"/>
  <c r="D1075"/>
  <c r="D1261" s="1"/>
  <c r="E331" s="1"/>
  <c r="D1003"/>
  <c r="D1189" s="1"/>
  <c r="E259" s="1"/>
  <c r="G962" i="34"/>
  <c r="H128"/>
  <c r="H962" s="1"/>
  <c r="H103" i="2"/>
  <c r="H104" s="1"/>
  <c r="I102" s="1"/>
  <c r="E103" i="41"/>
  <c r="D16" i="9"/>
  <c r="E17" i="4" s="1"/>
  <c r="H36" i="32"/>
  <c r="G28"/>
  <c r="D96" i="31"/>
  <c r="D114" s="1"/>
  <c r="E42" s="1"/>
  <c r="H32" i="23"/>
  <c r="G8" i="38"/>
  <c r="G23" i="23"/>
  <c r="J23" s="1"/>
  <c r="D945" i="32"/>
  <c r="D1112" s="1"/>
  <c r="E277" s="1"/>
  <c r="D890"/>
  <c r="D1057" s="1"/>
  <c r="E222" s="1"/>
  <c r="D1011"/>
  <c r="D1178" s="1"/>
  <c r="E343" s="1"/>
  <c r="D946"/>
  <c r="D1113" s="1"/>
  <c r="E278" s="1"/>
  <c r="D861"/>
  <c r="D1028" s="1"/>
  <c r="E193" s="1"/>
  <c r="D1007"/>
  <c r="D1174" s="1"/>
  <c r="E339" s="1"/>
  <c r="D997"/>
  <c r="D1164" s="1"/>
  <c r="E329" s="1"/>
  <c r="D1012"/>
  <c r="D1179" s="1"/>
  <c r="E344" s="1"/>
  <c r="D876"/>
  <c r="D1043" s="1"/>
  <c r="E208" s="1"/>
  <c r="D966"/>
  <c r="D1133" s="1"/>
  <c r="E298" s="1"/>
  <c r="D998"/>
  <c r="D1165" s="1"/>
  <c r="E330" s="1"/>
  <c r="D967"/>
  <c r="D1134" s="1"/>
  <c r="E299" s="1"/>
  <c r="D877"/>
  <c r="D1044" s="1"/>
  <c r="E209" s="1"/>
  <c r="D907"/>
  <c r="D1074" s="1"/>
  <c r="E239" s="1"/>
  <c r="H126" i="29"/>
  <c r="H150" s="1"/>
  <c r="G1011" i="27"/>
  <c r="G1197" s="1"/>
  <c r="H267" s="1"/>
  <c r="H81"/>
  <c r="H669" i="32"/>
  <c r="H687" s="1"/>
  <c r="H11" s="1"/>
  <c r="H667" i="34"/>
  <c r="H685" s="1"/>
  <c r="H11" s="1"/>
  <c r="H927"/>
  <c r="H1094" s="1"/>
  <c r="D124" i="3"/>
  <c r="D148" s="1"/>
  <c r="E52" s="1"/>
  <c r="G1008" i="27"/>
  <c r="G1194"/>
  <c r="H264" s="1"/>
  <c r="H7" i="39"/>
  <c r="I60" i="23"/>
  <c r="F21" i="41"/>
  <c r="F21" i="20" s="1"/>
  <c r="F68" i="35"/>
  <c r="F62" i="41"/>
  <c r="H136" i="32"/>
  <c r="E390" i="27"/>
  <c r="E9" s="1"/>
  <c r="E951"/>
  <c r="E1134" s="1"/>
  <c r="E13" s="1"/>
  <c r="G1069" i="34"/>
  <c r="H234" s="1"/>
  <c r="D131" i="3"/>
  <c r="D155" s="1"/>
  <c r="E59" s="1"/>
  <c r="D123"/>
  <c r="D147" s="1"/>
  <c r="E51" s="1"/>
  <c r="G37" i="23"/>
  <c r="H1049" i="27"/>
  <c r="H1099" i="34"/>
  <c r="H35" i="33"/>
  <c r="H105" s="1"/>
  <c r="G105"/>
  <c r="D1022" i="9"/>
  <c r="D1208" s="1"/>
  <c r="E278" s="1"/>
  <c r="D1132"/>
  <c r="D1318" s="1"/>
  <c r="E388" s="1"/>
  <c r="D1085"/>
  <c r="D1271" s="1"/>
  <c r="E341" s="1"/>
  <c r="D1045"/>
  <c r="D1231" s="1"/>
  <c r="E301" s="1"/>
  <c r="D1098"/>
  <c r="D1284" s="1"/>
  <c r="E354" s="1"/>
  <c r="D957"/>
  <c r="D1143" s="1"/>
  <c r="E213" s="1"/>
  <c r="D1053"/>
  <c r="D1239" s="1"/>
  <c r="E309" s="1"/>
  <c r="D1077"/>
  <c r="D1263" s="1"/>
  <c r="E333" s="1"/>
  <c r="D1107"/>
  <c r="D1293" s="1"/>
  <c r="E363" s="1"/>
  <c r="D1091"/>
  <c r="D1277" s="1"/>
  <c r="E347" s="1"/>
  <c r="D1024"/>
  <c r="D1210" s="1"/>
  <c r="E280" s="1"/>
  <c r="D977"/>
  <c r="D1163" s="1"/>
  <c r="E233" s="1"/>
  <c r="D1081"/>
  <c r="D1267" s="1"/>
  <c r="E337" s="1"/>
  <c r="D1080"/>
  <c r="D1266" s="1"/>
  <c r="E336" s="1"/>
  <c r="D1096"/>
  <c r="D1282" s="1"/>
  <c r="E352" s="1"/>
  <c r="D991"/>
  <c r="D1177" s="1"/>
  <c r="E247" s="1"/>
  <c r="D1052"/>
  <c r="D1238" s="1"/>
  <c r="E308" s="1"/>
  <c r="D1103"/>
  <c r="D1289" s="1"/>
  <c r="E359" s="1"/>
  <c r="D985"/>
  <c r="D1171" s="1"/>
  <c r="E241" s="1"/>
  <c r="D1048"/>
  <c r="D1234" s="1"/>
  <c r="E304" s="1"/>
  <c r="D1051"/>
  <c r="D1237" s="1"/>
  <c r="E307" s="1"/>
  <c r="D987"/>
  <c r="D1173" s="1"/>
  <c r="E243" s="1"/>
  <c r="F1067" i="27"/>
  <c r="G137"/>
  <c r="F860" i="34"/>
  <c r="F1027" s="1"/>
  <c r="G192" s="1"/>
  <c r="G26"/>
  <c r="H1109" i="27"/>
  <c r="E32" i="35"/>
  <c r="D99" i="31"/>
  <c r="D117" s="1"/>
  <c r="E45" s="1"/>
  <c r="D100"/>
  <c r="D118" s="1"/>
  <c r="E46" s="1"/>
  <c r="H113" i="32"/>
  <c r="G21" i="34"/>
  <c r="H902"/>
  <c r="G1107"/>
  <c r="H272" s="1"/>
  <c r="D927" i="32"/>
  <c r="D1094" s="1"/>
  <c r="E259" s="1"/>
  <c r="D954"/>
  <c r="D1121" s="1"/>
  <c r="E286" s="1"/>
  <c r="D912"/>
  <c r="D1079" s="1"/>
  <c r="E244" s="1"/>
  <c r="D1015"/>
  <c r="D1182" s="1"/>
  <c r="E347" s="1"/>
  <c r="D866"/>
  <c r="D1033" s="1"/>
  <c r="E198" s="1"/>
  <c r="D962"/>
  <c r="D1129" s="1"/>
  <c r="E294" s="1"/>
  <c r="D993"/>
  <c r="D1160" s="1"/>
  <c r="E325" s="1"/>
  <c r="D973"/>
  <c r="D1140" s="1"/>
  <c r="E305" s="1"/>
  <c r="D979"/>
  <c r="D1146" s="1"/>
  <c r="E311" s="1"/>
  <c r="D884"/>
  <c r="D1051" s="1"/>
  <c r="E216" s="1"/>
  <c r="D892"/>
  <c r="D1059" s="1"/>
  <c r="E224" s="1"/>
  <c r="D880"/>
  <c r="D1047" s="1"/>
  <c r="E212" s="1"/>
  <c r="D960"/>
  <c r="D1127" s="1"/>
  <c r="E292" s="1"/>
  <c r="D977"/>
  <c r="D1144" s="1"/>
  <c r="E309" s="1"/>
  <c r="D926"/>
  <c r="D1093" s="1"/>
  <c r="E258" s="1"/>
  <c r="D970"/>
  <c r="D1137" s="1"/>
  <c r="E302" s="1"/>
  <c r="D928"/>
  <c r="D1095" s="1"/>
  <c r="E260" s="1"/>
  <c r="D947"/>
  <c r="D1114" s="1"/>
  <c r="E279" s="1"/>
  <c r="D901"/>
  <c r="D1068" s="1"/>
  <c r="E233" s="1"/>
  <c r="D869"/>
  <c r="D1036" s="1"/>
  <c r="E201" s="1"/>
  <c r="D865"/>
  <c r="D1032" s="1"/>
  <c r="E197" s="1"/>
  <c r="G147" i="9"/>
  <c r="H1034" i="27"/>
  <c r="H1220" s="1"/>
  <c r="H1216"/>
  <c r="G58" i="43"/>
  <c r="G47"/>
  <c r="G891" i="34"/>
  <c r="G1058" s="1"/>
  <c r="H223" s="1"/>
  <c r="H1215" i="27"/>
  <c r="H1029"/>
  <c r="H889" i="34"/>
  <c r="H1056"/>
  <c r="H976" i="27"/>
  <c r="H1162" s="1"/>
  <c r="H1005"/>
  <c r="H1191"/>
  <c r="G134" i="29"/>
  <c r="G158" s="1"/>
  <c r="H62" s="1"/>
  <c r="G1007" i="34"/>
  <c r="G1174" s="1"/>
  <c r="H339" s="1"/>
  <c r="D118" i="3"/>
  <c r="D142" s="1"/>
  <c r="E46" s="1"/>
  <c r="G1000" i="34"/>
  <c r="G1167" s="1"/>
  <c r="H332" s="1"/>
  <c r="H166"/>
  <c r="H1000" s="1"/>
  <c r="H30" i="23"/>
  <c r="G21"/>
  <c r="J21" s="1"/>
  <c r="G6" i="38"/>
  <c r="G35" i="23"/>
  <c r="D982" i="9"/>
  <c r="D1168" s="1"/>
  <c r="E238" s="1"/>
  <c r="D1012"/>
  <c r="D1198" s="1"/>
  <c r="E268" s="1"/>
  <c r="D1104"/>
  <c r="D1290" s="1"/>
  <c r="E360" s="1"/>
  <c r="D1019"/>
  <c r="D1205" s="1"/>
  <c r="E275" s="1"/>
  <c r="D863" i="32"/>
  <c r="D1030" s="1"/>
  <c r="E195" s="1"/>
  <c r="D894"/>
  <c r="D1061" s="1"/>
  <c r="E226" s="1"/>
  <c r="D923"/>
  <c r="D1090" s="1"/>
  <c r="E255" s="1"/>
  <c r="D854"/>
  <c r="D12" s="1"/>
  <c r="D857"/>
  <c r="D1024" s="1"/>
  <c r="D959"/>
  <c r="D1126" s="1"/>
  <c r="E291" s="1"/>
  <c r="G969" i="27"/>
  <c r="G1155"/>
  <c r="H225" s="1"/>
  <c r="H118" i="33"/>
  <c r="H946" i="34"/>
  <c r="H1113" s="1"/>
  <c r="H994"/>
  <c r="H1161" s="1"/>
  <c r="H939"/>
  <c r="H1106" s="1"/>
  <c r="G188" i="9"/>
  <c r="H26" i="31"/>
  <c r="H1012" i="27"/>
  <c r="H1198" s="1"/>
  <c r="H30" i="31"/>
  <c r="D1115" i="9"/>
  <c r="D1301" s="1"/>
  <c r="E371" s="1"/>
  <c r="D998"/>
  <c r="D1184" s="1"/>
  <c r="E254" s="1"/>
  <c r="D1097"/>
  <c r="D1283" s="1"/>
  <c r="E353" s="1"/>
  <c r="D1133"/>
  <c r="D1319" s="1"/>
  <c r="E389" s="1"/>
  <c r="D1095"/>
  <c r="D1281" s="1"/>
  <c r="E351" s="1"/>
  <c r="D968"/>
  <c r="D1154" s="1"/>
  <c r="E224" s="1"/>
  <c r="G71" i="39"/>
  <c r="G114" s="1"/>
  <c r="G157" s="1"/>
  <c r="G72"/>
  <c r="G115" s="1"/>
  <c r="G158" s="1"/>
  <c r="G73"/>
  <c r="G116" s="1"/>
  <c r="G159" s="1"/>
  <c r="G74"/>
  <c r="G117" s="1"/>
  <c r="G160" s="1"/>
  <c r="G75"/>
  <c r="G118" s="1"/>
  <c r="G161" s="1"/>
  <c r="G95"/>
  <c r="G138" s="1"/>
  <c r="G181" s="1"/>
  <c r="G78"/>
  <c r="G121" s="1"/>
  <c r="G164" s="1"/>
  <c r="G84"/>
  <c r="G127" s="1"/>
  <c r="G170" s="1"/>
  <c r="G100"/>
  <c r="G143" s="1"/>
  <c r="G186" s="1"/>
  <c r="G65"/>
  <c r="G108" s="1"/>
  <c r="G151" s="1"/>
  <c r="G90"/>
  <c r="G133" s="1"/>
  <c r="G176" s="1"/>
  <c r="G85"/>
  <c r="G128" s="1"/>
  <c r="G171" s="1"/>
  <c r="G63"/>
  <c r="G106" s="1"/>
  <c r="G149" s="1"/>
  <c r="G66"/>
  <c r="G109" s="1"/>
  <c r="G152" s="1"/>
  <c r="G81"/>
  <c r="G124" s="1"/>
  <c r="G167" s="1"/>
  <c r="G97"/>
  <c r="G140" s="1"/>
  <c r="G183" s="1"/>
  <c r="G87"/>
  <c r="G130" s="1"/>
  <c r="G173" s="1"/>
  <c r="G101"/>
  <c r="G144" s="1"/>
  <c r="G187" s="1"/>
  <c r="G88"/>
  <c r="G131" s="1"/>
  <c r="G174" s="1"/>
  <c r="G94"/>
  <c r="G137" s="1"/>
  <c r="G180" s="1"/>
  <c r="G98"/>
  <c r="G141" s="1"/>
  <c r="G184" s="1"/>
  <c r="G79"/>
  <c r="G122" s="1"/>
  <c r="G165" s="1"/>
  <c r="G91"/>
  <c r="G134" s="1"/>
  <c r="G177" s="1"/>
  <c r="G102"/>
  <c r="G145" s="1"/>
  <c r="G188" s="1"/>
  <c r="G86"/>
  <c r="G129" s="1"/>
  <c r="G172" s="1"/>
  <c r="G68"/>
  <c r="G111" s="1"/>
  <c r="G154" s="1"/>
  <c r="G92"/>
  <c r="G135" s="1"/>
  <c r="G178" s="1"/>
  <c r="G67"/>
  <c r="G110" s="1"/>
  <c r="G153" s="1"/>
  <c r="G99"/>
  <c r="G142" s="1"/>
  <c r="G185" s="1"/>
  <c r="G64"/>
  <c r="G107" s="1"/>
  <c r="G150" s="1"/>
  <c r="G82"/>
  <c r="G125" s="1"/>
  <c r="G168" s="1"/>
  <c r="G89"/>
  <c r="G132" s="1"/>
  <c r="G175" s="1"/>
  <c r="G77"/>
  <c r="G120" s="1"/>
  <c r="G163" s="1"/>
  <c r="G69"/>
  <c r="G112" s="1"/>
  <c r="G155" s="1"/>
  <c r="G80"/>
  <c r="G123" s="1"/>
  <c r="G166" s="1"/>
  <c r="G70"/>
  <c r="G113" s="1"/>
  <c r="G156" s="1"/>
  <c r="G96"/>
  <c r="G139" s="1"/>
  <c r="G182" s="1"/>
  <c r="G76"/>
  <c r="G119" s="1"/>
  <c r="G162" s="1"/>
  <c r="G93"/>
  <c r="G136" s="1"/>
  <c r="G179" s="1"/>
  <c r="G103"/>
  <c r="G146" s="1"/>
  <c r="G189" s="1"/>
  <c r="G83"/>
  <c r="G126" s="1"/>
  <c r="G169" s="1"/>
  <c r="H1113" i="27"/>
  <c r="G23" i="32"/>
  <c r="G1133" i="27"/>
  <c r="G1319" s="1"/>
  <c r="H389" s="1"/>
  <c r="G882" i="34"/>
  <c r="G1049" s="1"/>
  <c r="H214" s="1"/>
  <c r="H1053" i="27"/>
  <c r="H1239" s="1"/>
  <c r="D134" i="3"/>
  <c r="D158" s="1"/>
  <c r="E62" s="1"/>
  <c r="D112"/>
  <c r="D11" s="1"/>
  <c r="D115"/>
  <c r="D139" s="1"/>
  <c r="D129"/>
  <c r="D153" s="1"/>
  <c r="E57" s="1"/>
  <c r="F46" i="29"/>
  <c r="E161"/>
  <c r="E14" s="1"/>
  <c r="E18" s="1"/>
  <c r="H1057" i="27"/>
  <c r="H1243"/>
  <c r="G1026"/>
  <c r="G1212" s="1"/>
  <c r="H282" s="1"/>
  <c r="H96"/>
  <c r="H93" i="33"/>
  <c r="H111" s="1"/>
  <c r="F49" i="42"/>
  <c r="F60"/>
  <c r="G876" i="34"/>
  <c r="G1043" s="1"/>
  <c r="H208" s="1"/>
  <c r="H990" i="27"/>
  <c r="H1176" s="1"/>
  <c r="D1129" i="9"/>
  <c r="D1315" s="1"/>
  <c r="E385" s="1"/>
  <c r="D962"/>
  <c r="D1148" s="1"/>
  <c r="E218" s="1"/>
  <c r="D990"/>
  <c r="D1176" s="1"/>
  <c r="E246" s="1"/>
  <c r="D1015"/>
  <c r="D1201" s="1"/>
  <c r="E271" s="1"/>
  <c r="D1119"/>
  <c r="D1305" s="1"/>
  <c r="E375" s="1"/>
  <c r="D1087"/>
  <c r="D1273" s="1"/>
  <c r="E343" s="1"/>
  <c r="D1036"/>
  <c r="D1222" s="1"/>
  <c r="E292" s="1"/>
  <c r="D969"/>
  <c r="D1155" s="1"/>
  <c r="E225" s="1"/>
  <c r="D979"/>
  <c r="D1165" s="1"/>
  <c r="E235" s="1"/>
  <c r="E187" i="34"/>
  <c r="D1186"/>
  <c r="D14" s="1"/>
  <c r="D16" s="1"/>
  <c r="F962" i="27"/>
  <c r="F1148" s="1"/>
  <c r="G218" s="1"/>
  <c r="G32"/>
  <c r="D95" i="31"/>
  <c r="D113" s="1"/>
  <c r="E41" s="1"/>
  <c r="G195" i="9"/>
  <c r="G1006" i="27"/>
  <c r="G1192"/>
  <c r="H262" s="1"/>
  <c r="D941" i="32"/>
  <c r="D1108" s="1"/>
  <c r="E273" s="1"/>
  <c r="D991"/>
  <c r="D1158" s="1"/>
  <c r="E323" s="1"/>
  <c r="D968"/>
  <c r="D1135" s="1"/>
  <c r="E300" s="1"/>
  <c r="D934"/>
  <c r="D1101" s="1"/>
  <c r="E266" s="1"/>
  <c r="D992"/>
  <c r="D1159" s="1"/>
  <c r="E324" s="1"/>
  <c r="D931"/>
  <c r="D1098" s="1"/>
  <c r="E263" s="1"/>
  <c r="D891"/>
  <c r="D1058" s="1"/>
  <c r="E223" s="1"/>
  <c r="D897"/>
  <c r="D1064" s="1"/>
  <c r="E229" s="1"/>
  <c r="I33" i="43"/>
  <c r="G1189" i="27"/>
  <c r="H259" s="1"/>
  <c r="G1003"/>
  <c r="H1181" i="34"/>
  <c r="H34" i="43"/>
  <c r="I29" s="1"/>
  <c r="G858" i="34"/>
  <c r="G1025" s="1"/>
  <c r="H190" s="1"/>
  <c r="G892"/>
  <c r="G1059" s="1"/>
  <c r="H224" s="1"/>
  <c r="H140" i="32"/>
  <c r="D132" i="3"/>
  <c r="D156" s="1"/>
  <c r="E60" s="1"/>
  <c r="G973" i="27"/>
  <c r="G1159" s="1"/>
  <c r="H229" s="1"/>
  <c r="G138" i="9"/>
  <c r="H88" i="32"/>
  <c r="D1074" i="9"/>
  <c r="D1260" s="1"/>
  <c r="E330" s="1"/>
  <c r="D1058"/>
  <c r="D1244" s="1"/>
  <c r="E314" s="1"/>
  <c r="D1090"/>
  <c r="D1276" s="1"/>
  <c r="E346" s="1"/>
  <c r="D1113"/>
  <c r="D1299" s="1"/>
  <c r="E369" s="1"/>
  <c r="D1101"/>
  <c r="D1287" s="1"/>
  <c r="E357" s="1"/>
  <c r="D1054"/>
  <c r="D1240" s="1"/>
  <c r="E310" s="1"/>
  <c r="D1044"/>
  <c r="D1230" s="1"/>
  <c r="E300" s="1"/>
  <c r="D1008"/>
  <c r="D1194" s="1"/>
  <c r="E264" s="1"/>
  <c r="D1127"/>
  <c r="D1313" s="1"/>
  <c r="E383" s="1"/>
  <c r="D960"/>
  <c r="D1146" s="1"/>
  <c r="E216" s="1"/>
  <c r="D1083"/>
  <c r="D1269" s="1"/>
  <c r="E339" s="1"/>
  <c r="D1028"/>
  <c r="D1214" s="1"/>
  <c r="E284" s="1"/>
  <c r="D1025"/>
  <c r="D1211" s="1"/>
  <c r="E281" s="1"/>
  <c r="D1078"/>
  <c r="D1264" s="1"/>
  <c r="E334" s="1"/>
  <c r="D959"/>
  <c r="D1145" s="1"/>
  <c r="E215" s="1"/>
  <c r="D1020"/>
  <c r="D1206" s="1"/>
  <c r="E276" s="1"/>
  <c r="D1076"/>
  <c r="D1262" s="1"/>
  <c r="E332" s="1"/>
  <c r="D953"/>
  <c r="D1139" s="1"/>
  <c r="E209" s="1"/>
  <c r="D1016"/>
  <c r="D1202" s="1"/>
  <c r="E272" s="1"/>
  <c r="D1035"/>
  <c r="D1221" s="1"/>
  <c r="E291" s="1"/>
  <c r="D971"/>
  <c r="D1157" s="1"/>
  <c r="E227" s="1"/>
  <c r="H1052" i="34"/>
  <c r="G1156"/>
  <c r="H321" s="1"/>
  <c r="E53" i="33"/>
  <c r="E9" s="1"/>
  <c r="E16" s="1"/>
  <c r="E92"/>
  <c r="E107" s="1"/>
  <c r="E13" s="1"/>
  <c r="G1031" i="27"/>
  <c r="G1217"/>
  <c r="H287" s="1"/>
  <c r="H132" i="29"/>
  <c r="H156" s="1"/>
  <c r="H132" i="32"/>
  <c r="D89" i="31"/>
  <c r="D12" s="1"/>
  <c r="D92"/>
  <c r="D110" s="1"/>
  <c r="D97"/>
  <c r="D115"/>
  <c r="E43" s="1"/>
  <c r="F1124" i="27"/>
  <c r="F1310" s="1"/>
  <c r="G380" s="1"/>
  <c r="G194"/>
  <c r="D45" i="43"/>
  <c r="H1088" i="27"/>
  <c r="H1274" s="1"/>
  <c r="D948" i="32"/>
  <c r="D1115" s="1"/>
  <c r="E280" s="1"/>
  <c r="D911"/>
  <c r="D1078" s="1"/>
  <c r="E243" s="1"/>
  <c r="D882"/>
  <c r="D1049" s="1"/>
  <c r="E214" s="1"/>
  <c r="D986"/>
  <c r="D1153" s="1"/>
  <c r="E318" s="1"/>
  <c r="D919"/>
  <c r="D1086" s="1"/>
  <c r="E251" s="1"/>
  <c r="D964"/>
  <c r="D1131" s="1"/>
  <c r="E296" s="1"/>
  <c r="D886"/>
  <c r="D1053" s="1"/>
  <c r="E218" s="1"/>
  <c r="D920"/>
  <c r="D1087" s="1"/>
  <c r="E252" s="1"/>
  <c r="D921"/>
  <c r="D1088" s="1"/>
  <c r="E253" s="1"/>
  <c r="D899"/>
  <c r="D1066" s="1"/>
  <c r="E231" s="1"/>
  <c r="D981"/>
  <c r="D1148" s="1"/>
  <c r="E313" s="1"/>
  <c r="D990"/>
  <c r="D1157" s="1"/>
  <c r="E322" s="1"/>
  <c r="D996"/>
  <c r="D1163" s="1"/>
  <c r="E328" s="1"/>
  <c r="D888"/>
  <c r="D1055" s="1"/>
  <c r="E220" s="1"/>
  <c r="D904"/>
  <c r="D1071" s="1"/>
  <c r="E236" s="1"/>
  <c r="D900"/>
  <c r="D1067" s="1"/>
  <c r="E232" s="1"/>
  <c r="D872"/>
  <c r="D1039" s="1"/>
  <c r="E204" s="1"/>
  <c r="D937"/>
  <c r="D1104" s="1"/>
  <c r="E269" s="1"/>
  <c r="D893"/>
  <c r="D1060" s="1"/>
  <c r="E225" s="1"/>
  <c r="D972"/>
  <c r="D1139" s="1"/>
  <c r="E304" s="1"/>
  <c r="H1092" i="27"/>
  <c r="H1278"/>
  <c r="H65" i="23"/>
  <c r="G33" i="9"/>
  <c r="I25" i="36"/>
  <c r="H52" i="43"/>
  <c r="H10" i="38"/>
  <c r="H54" i="42"/>
  <c r="H58" s="1"/>
  <c r="H52" i="44"/>
  <c r="H29" i="36"/>
  <c r="G1285" i="27"/>
  <c r="H355" s="1"/>
  <c r="G1099"/>
  <c r="G977"/>
  <c r="G1163" s="1"/>
  <c r="H233" s="1"/>
  <c r="G1069"/>
  <c r="G1255"/>
  <c r="H325" s="1"/>
  <c r="H116" i="32"/>
  <c r="H1072" i="27"/>
  <c r="H1258" s="1"/>
  <c r="D120" i="3"/>
  <c r="D144" s="1"/>
  <c r="E48" s="1"/>
  <c r="F20" i="41"/>
  <c r="F69" i="4"/>
  <c r="F61" i="41"/>
  <c r="D1037" i="9"/>
  <c r="D1223" s="1"/>
  <c r="E293" s="1"/>
  <c r="D1014"/>
  <c r="D1200" s="1"/>
  <c r="E270" s="1"/>
  <c r="D1042"/>
  <c r="D1228" s="1"/>
  <c r="E298" s="1"/>
  <c r="D1089"/>
  <c r="D1275" s="1"/>
  <c r="E345" s="1"/>
  <c r="D964"/>
  <c r="D1150" s="1"/>
  <c r="E220" s="1"/>
  <c r="D1049"/>
  <c r="D1235" s="1"/>
  <c r="E305" s="1"/>
  <c r="D955"/>
  <c r="D1141" s="1"/>
  <c r="E211" s="1"/>
  <c r="F954" i="27"/>
  <c r="G24"/>
  <c r="H72" i="32"/>
  <c r="D105" i="31"/>
  <c r="D123" s="1"/>
  <c r="E51" s="1"/>
  <c r="G1275" i="27"/>
  <c r="H345" s="1"/>
  <c r="G1089"/>
  <c r="D864" i="32"/>
  <c r="D1031" s="1"/>
  <c r="E196" s="1"/>
  <c r="D1001"/>
  <c r="D1168" s="1"/>
  <c r="E333" s="1"/>
  <c r="D903"/>
  <c r="D1070" s="1"/>
  <c r="E235" s="1"/>
  <c r="D883"/>
  <c r="D1050" s="1"/>
  <c r="E215" s="1"/>
  <c r="D885"/>
  <c r="D1052" s="1"/>
  <c r="E217" s="1"/>
  <c r="H974" i="27"/>
  <c r="H1160"/>
  <c r="F954" i="34"/>
  <c r="F1121" s="1"/>
  <c r="G286" s="1"/>
  <c r="G120"/>
  <c r="G908"/>
  <c r="G1075" s="1"/>
  <c r="H240" s="1"/>
  <c r="H1103"/>
  <c r="H936"/>
  <c r="D116" i="3"/>
  <c r="D140" s="1"/>
  <c r="E44" s="1"/>
  <c r="H108" i="32"/>
  <c r="F25" i="44"/>
  <c r="F22"/>
  <c r="F23" s="1"/>
  <c r="G18" s="1"/>
  <c r="H34" i="34"/>
  <c r="G868"/>
  <c r="G1035" s="1"/>
  <c r="H200" s="1"/>
  <c r="F1140" i="27"/>
  <c r="G210" s="1"/>
  <c r="D1006" i="9"/>
  <c r="D1192" s="1"/>
  <c r="E262" s="1"/>
  <c r="D1046"/>
  <c r="D1232" s="1"/>
  <c r="E302" s="1"/>
  <c r="D983"/>
  <c r="D1169" s="1"/>
  <c r="E239" s="1"/>
  <c r="D972"/>
  <c r="D1158" s="1"/>
  <c r="E228" s="1"/>
  <c r="H1246" i="27"/>
  <c r="G1059"/>
  <c r="G1245" s="1"/>
  <c r="H315" s="1"/>
  <c r="H996"/>
  <c r="H1182" s="1"/>
  <c r="G964"/>
  <c r="G1150" s="1"/>
  <c r="H220" s="1"/>
  <c r="D80" i="42"/>
  <c r="D82"/>
  <c r="D50"/>
  <c r="D1010" i="9"/>
  <c r="D1196" s="1"/>
  <c r="E266" s="1"/>
  <c r="D1070"/>
  <c r="D1256" s="1"/>
  <c r="E326" s="1"/>
  <c r="D1130"/>
  <c r="D1316" s="1"/>
  <c r="E386" s="1"/>
  <c r="D1002"/>
  <c r="D1188" s="1"/>
  <c r="E258" s="1"/>
  <c r="D1069"/>
  <c r="D1255" s="1"/>
  <c r="E325" s="1"/>
  <c r="D1073"/>
  <c r="D1259" s="1"/>
  <c r="E329" s="1"/>
  <c r="D992"/>
  <c r="D1178" s="1"/>
  <c r="E248" s="1"/>
  <c r="D1060"/>
  <c r="D1246" s="1"/>
  <c r="E316" s="1"/>
  <c r="D1057"/>
  <c r="D1243" s="1"/>
  <c r="E313" s="1"/>
  <c r="D975"/>
  <c r="D1161" s="1"/>
  <c r="E231" s="1"/>
  <c r="D1094"/>
  <c r="D1280" s="1"/>
  <c r="E350" s="1"/>
  <c r="D1032"/>
  <c r="D1218" s="1"/>
  <c r="E288" s="1"/>
  <c r="D1043"/>
  <c r="D1229" s="1"/>
  <c r="E299" s="1"/>
  <c r="G864" i="34"/>
  <c r="G1031" s="1"/>
  <c r="H196" s="1"/>
  <c r="H30"/>
  <c r="H22" i="31"/>
  <c r="G1038" i="27"/>
  <c r="G1224" s="1"/>
  <c r="H294" s="1"/>
  <c r="D93" i="31"/>
  <c r="D111" s="1"/>
  <c r="E39" s="1"/>
  <c r="H896" i="34"/>
  <c r="H1063" s="1"/>
  <c r="D971" i="32"/>
  <c r="D1138" s="1"/>
  <c r="E303" s="1"/>
  <c r="D950"/>
  <c r="D1117" s="1"/>
  <c r="E282" s="1"/>
  <c r="D909"/>
  <c r="D1076" s="1"/>
  <c r="E241" s="1"/>
  <c r="D1019"/>
  <c r="D1186" s="1"/>
  <c r="E351" s="1"/>
  <c r="D944"/>
  <c r="D1111" s="1"/>
  <c r="E276" s="1"/>
  <c r="D935"/>
  <c r="D1102" s="1"/>
  <c r="E267" s="1"/>
  <c r="D871"/>
  <c r="D1038" s="1"/>
  <c r="E203" s="1"/>
  <c r="D1018"/>
  <c r="D1185" s="1"/>
  <c r="E350" s="1"/>
  <c r="D917"/>
  <c r="D1084" s="1"/>
  <c r="E249" s="1"/>
  <c r="D957"/>
  <c r="D1124" s="1"/>
  <c r="E289" s="1"/>
  <c r="D942"/>
  <c r="D1109" s="1"/>
  <c r="E274" s="1"/>
  <c r="D994"/>
  <c r="D1161" s="1"/>
  <c r="E326" s="1"/>
  <c r="D860"/>
  <c r="D1027" s="1"/>
  <c r="E192" s="1"/>
  <c r="G984" i="34"/>
  <c r="G1151" s="1"/>
  <c r="H316" s="1"/>
  <c r="H150"/>
  <c r="H1165"/>
  <c r="H998"/>
  <c r="G1017"/>
  <c r="G1184" s="1"/>
  <c r="H349" s="1"/>
  <c r="G1041" i="27"/>
  <c r="G1227" s="1"/>
  <c r="H297" s="1"/>
  <c r="H1106"/>
  <c r="H1292"/>
  <c r="H1085"/>
  <c r="H1271" s="1"/>
  <c r="G1111"/>
  <c r="G1297" s="1"/>
  <c r="H367" s="1"/>
  <c r="G870" i="34"/>
  <c r="G1037" s="1"/>
  <c r="H202" s="1"/>
  <c r="H950"/>
  <c r="H1117"/>
  <c r="H1043" i="27"/>
  <c r="H1229"/>
  <c r="H202"/>
  <c r="I50" i="36"/>
  <c r="H10" i="39"/>
  <c r="H86" i="42"/>
  <c r="H90" s="1"/>
  <c r="H54" i="36"/>
  <c r="H57" s="1"/>
  <c r="H65" i="35" s="1"/>
  <c r="G969" i="34"/>
  <c r="G1136" s="1"/>
  <c r="H301" s="1"/>
  <c r="H135"/>
  <c r="G69" i="4"/>
  <c r="G61" i="41"/>
  <c r="G20"/>
  <c r="D126" i="3"/>
  <c r="D150" s="1"/>
  <c r="E54" s="1"/>
  <c r="D121"/>
  <c r="D145" s="1"/>
  <c r="E49" s="1"/>
  <c r="F37" i="4"/>
  <c r="F71" s="1"/>
  <c r="H32" i="32"/>
  <c r="I26" i="36"/>
  <c r="I30" s="1"/>
  <c r="H30"/>
  <c r="G872" i="34"/>
  <c r="G1039" s="1"/>
  <c r="H204" s="1"/>
  <c r="E40" i="44"/>
  <c r="E41" s="1"/>
  <c r="E44" s="1"/>
  <c r="H125" i="32"/>
  <c r="D1029" i="9"/>
  <c r="D1215" s="1"/>
  <c r="E285" s="1"/>
  <c r="H203"/>
  <c r="G1105" i="27"/>
  <c r="G1291" s="1"/>
  <c r="H361" s="1"/>
  <c r="H175"/>
  <c r="G1015" i="34"/>
  <c r="G1182" s="1"/>
  <c r="H347" s="1"/>
  <c r="H130" i="32"/>
  <c r="D125" i="3"/>
  <c r="D149" s="1"/>
  <c r="E53" s="1"/>
  <c r="D122"/>
  <c r="D146" s="1"/>
  <c r="E50" s="1"/>
  <c r="D128"/>
  <c r="D152" s="1"/>
  <c r="E56" s="1"/>
  <c r="E942" i="9"/>
  <c r="H168" i="32"/>
  <c r="E38" i="23"/>
  <c r="G146" i="27"/>
  <c r="F1076"/>
  <c r="F1262" s="1"/>
  <c r="G332" s="1"/>
  <c r="G1127"/>
  <c r="H63" i="2"/>
  <c r="H64" s="1"/>
  <c r="H69" s="1"/>
  <c r="I61"/>
  <c r="I63" s="1"/>
  <c r="I64" s="1"/>
  <c r="I69" s="1"/>
  <c r="G948" i="34"/>
  <c r="G1115" s="1"/>
  <c r="H280" s="1"/>
  <c r="H114"/>
  <c r="H8" i="39"/>
  <c r="I61" i="23"/>
  <c r="H117" i="33"/>
  <c r="G122" i="32"/>
  <c r="D973" i="9"/>
  <c r="D1159" s="1"/>
  <c r="E229" s="1"/>
  <c r="D966"/>
  <c r="D1152" s="1"/>
  <c r="E222" s="1"/>
  <c r="D1021"/>
  <c r="D1207" s="1"/>
  <c r="E277" s="1"/>
  <c r="D989"/>
  <c r="D1175" s="1"/>
  <c r="E245" s="1"/>
  <c r="D997"/>
  <c r="D1183" s="1"/>
  <c r="E253" s="1"/>
  <c r="D954"/>
  <c r="D1140" s="1"/>
  <c r="E210" s="1"/>
  <c r="D978"/>
  <c r="D1164" s="1"/>
  <c r="E234" s="1"/>
  <c r="D980"/>
  <c r="D1166" s="1"/>
  <c r="E236" s="1"/>
  <c r="D1109"/>
  <c r="D1295" s="1"/>
  <c r="E365" s="1"/>
  <c r="D1088"/>
  <c r="D1274" s="1"/>
  <c r="E344" s="1"/>
  <c r="D1108"/>
  <c r="D1294" s="1"/>
  <c r="E364" s="1"/>
  <c r="D1063"/>
  <c r="D1249" s="1"/>
  <c r="E319" s="1"/>
  <c r="D996"/>
  <c r="D1182" s="1"/>
  <c r="E252" s="1"/>
  <c r="D993"/>
  <c r="D1179" s="1"/>
  <c r="E249" s="1"/>
  <c r="D1068"/>
  <c r="D1254" s="1"/>
  <c r="E324" s="1"/>
  <c r="D1122"/>
  <c r="D1308" s="1"/>
  <c r="E378" s="1"/>
  <c r="D1004"/>
  <c r="D1190" s="1"/>
  <c r="E260" s="1"/>
  <c r="D1065"/>
  <c r="D1251" s="1"/>
  <c r="E321" s="1"/>
  <c r="D1111"/>
  <c r="D1297" s="1"/>
  <c r="E367" s="1"/>
  <c r="D1000"/>
  <c r="D1186" s="1"/>
  <c r="E256" s="1"/>
  <c r="D1027"/>
  <c r="D1213" s="1"/>
  <c r="E283" s="1"/>
  <c r="D963"/>
  <c r="D1149" s="1"/>
  <c r="E219" s="1"/>
  <c r="H1129" i="27"/>
  <c r="H1315" s="1"/>
  <c r="F956"/>
  <c r="G26"/>
  <c r="H170" i="32"/>
  <c r="D103" i="31"/>
  <c r="D121" s="1"/>
  <c r="E49" s="1"/>
  <c r="D102"/>
  <c r="D120" s="1"/>
  <c r="E48" s="1"/>
  <c r="F1117" i="27"/>
  <c r="F1303" s="1"/>
  <c r="G373" s="1"/>
  <c r="G187"/>
  <c r="G47" i="44"/>
  <c r="G58"/>
  <c r="D951" i="32"/>
  <c r="D1118" s="1"/>
  <c r="E283" s="1"/>
  <c r="D874"/>
  <c r="D1041" s="1"/>
  <c r="E206" s="1"/>
  <c r="D916"/>
  <c r="D1083" s="1"/>
  <c r="E248" s="1"/>
  <c r="D961"/>
  <c r="D1128" s="1"/>
  <c r="E293" s="1"/>
  <c r="D1003"/>
  <c r="D1170" s="1"/>
  <c r="E335" s="1"/>
  <c r="D1013"/>
  <c r="D1180" s="1"/>
  <c r="E345" s="1"/>
  <c r="D859"/>
  <c r="D1026" s="1"/>
  <c r="E191" s="1"/>
  <c r="D985"/>
  <c r="D1152" s="1"/>
  <c r="E317" s="1"/>
  <c r="D908"/>
  <c r="D1075" s="1"/>
  <c r="E240" s="1"/>
  <c r="D955"/>
  <c r="D1122" s="1"/>
  <c r="E287" s="1"/>
  <c r="D1142"/>
  <c r="E307" s="1"/>
  <c r="D975"/>
  <c r="D936"/>
  <c r="D1103" s="1"/>
  <c r="E268" s="1"/>
  <c r="D965"/>
  <c r="D1132" s="1"/>
  <c r="E297" s="1"/>
  <c r="D875"/>
  <c r="D1042" s="1"/>
  <c r="E207" s="1"/>
  <c r="D896"/>
  <c r="D1063" s="1"/>
  <c r="E228" s="1"/>
  <c r="D887"/>
  <c r="D1054" s="1"/>
  <c r="E219" s="1"/>
  <c r="D988"/>
  <c r="D1155" s="1"/>
  <c r="E320" s="1"/>
  <c r="D933"/>
  <c r="D1100" s="1"/>
  <c r="E265" s="1"/>
  <c r="D889"/>
  <c r="D1056" s="1"/>
  <c r="E221" s="1"/>
  <c r="D963"/>
  <c r="D1130" s="1"/>
  <c r="E295" s="1"/>
  <c r="H117" i="9"/>
  <c r="G940" i="34"/>
  <c r="H106"/>
  <c r="G36" i="23"/>
  <c r="E42" i="42" l="1"/>
  <c r="E43" s="1"/>
  <c r="E46" s="1"/>
  <c r="F64" i="41"/>
  <c r="G38" i="23"/>
  <c r="G32" i="4" s="1"/>
  <c r="E83" i="42"/>
  <c r="E74"/>
  <c r="E75" s="1"/>
  <c r="F22" i="43"/>
  <c r="F23" s="1"/>
  <c r="G18" s="1"/>
  <c r="G23" i="41"/>
  <c r="E1300" i="9"/>
  <c r="F370" s="1"/>
  <c r="F928" s="1"/>
  <c r="E1312"/>
  <c r="F382" s="1"/>
  <c r="F940" s="1"/>
  <c r="F1126" s="1"/>
  <c r="F1312" s="1"/>
  <c r="G382" s="1"/>
  <c r="E729" i="32"/>
  <c r="E896" s="1"/>
  <c r="E75" i="31"/>
  <c r="E93"/>
  <c r="E111" s="1"/>
  <c r="F39" s="1"/>
  <c r="H1212" i="27"/>
  <c r="E826" i="9"/>
  <c r="E1012" s="1"/>
  <c r="E1198" s="1"/>
  <c r="F268" s="1"/>
  <c r="E832"/>
  <c r="E1018"/>
  <c r="E1204" s="1"/>
  <c r="F274" s="1"/>
  <c r="E770"/>
  <c r="E956" s="1"/>
  <c r="H884" i="34"/>
  <c r="H1051" s="1"/>
  <c r="E818" i="32"/>
  <c r="E985" s="1"/>
  <c r="E1152" s="1"/>
  <c r="F317" s="1"/>
  <c r="H1136" i="34"/>
  <c r="E789" i="9"/>
  <c r="E784" i="32"/>
  <c r="E951" s="1"/>
  <c r="E1118" s="1"/>
  <c r="F283" s="1"/>
  <c r="E780" i="9"/>
  <c r="H870" i="34"/>
  <c r="H1037" s="1"/>
  <c r="E750" i="32"/>
  <c r="E917" s="1"/>
  <c r="E1084" s="1"/>
  <c r="F249" s="1"/>
  <c r="E839" i="9"/>
  <c r="E1025" s="1"/>
  <c r="E1211" s="1"/>
  <c r="F281" s="1"/>
  <c r="H1059" i="34"/>
  <c r="H892"/>
  <c r="E696" i="32"/>
  <c r="E863" s="1"/>
  <c r="E793"/>
  <c r="E921" i="9"/>
  <c r="E930"/>
  <c r="E1116" s="1"/>
  <c r="E1302" s="1"/>
  <c r="F372" s="1"/>
  <c r="H120" i="33"/>
  <c r="H102"/>
  <c r="E758" i="32"/>
  <c r="E925" s="1"/>
  <c r="E876" i="9"/>
  <c r="E1062" s="1"/>
  <c r="H1234" i="27"/>
  <c r="H1048"/>
  <c r="E875" i="9"/>
  <c r="H997" i="34"/>
  <c r="H1164" s="1"/>
  <c r="H929"/>
  <c r="H1096" s="1"/>
  <c r="E794" i="9"/>
  <c r="E980" s="1"/>
  <c r="E1166" s="1"/>
  <c r="F236" s="1"/>
  <c r="E851" i="32"/>
  <c r="E1018" s="1"/>
  <c r="E874" i="9"/>
  <c r="E1060" s="1"/>
  <c r="E1246" s="1"/>
  <c r="F316" s="1"/>
  <c r="E766" i="32"/>
  <c r="E933" s="1"/>
  <c r="E1100" s="1"/>
  <c r="F265" s="1"/>
  <c r="E792" i="9"/>
  <c r="E978" s="1"/>
  <c r="E1164" s="1"/>
  <c r="F234" s="1"/>
  <c r="E857"/>
  <c r="E834" i="32"/>
  <c r="E1001" s="1"/>
  <c r="E1168" s="1"/>
  <c r="F333" s="1"/>
  <c r="E781"/>
  <c r="E948" s="1"/>
  <c r="E1115" s="1"/>
  <c r="F280" s="1"/>
  <c r="E888" i="9"/>
  <c r="E1074" s="1"/>
  <c r="E821" i="32"/>
  <c r="E988" s="1"/>
  <c r="E1155" s="1"/>
  <c r="F320" s="1"/>
  <c r="E818" i="9"/>
  <c r="E1004" s="1"/>
  <c r="H872" i="34"/>
  <c r="H1039" s="1"/>
  <c r="E693" i="32"/>
  <c r="E860" s="1"/>
  <c r="E804"/>
  <c r="E824" i="9"/>
  <c r="E1010" s="1"/>
  <c r="E1196" s="1"/>
  <c r="F266" s="1"/>
  <c r="G25" i="44"/>
  <c r="G21"/>
  <c r="G39" s="1"/>
  <c r="E769" i="9"/>
  <c r="E955" s="1"/>
  <c r="E720" i="32"/>
  <c r="E887" s="1"/>
  <c r="E788"/>
  <c r="E955" s="1"/>
  <c r="E794"/>
  <c r="E961" s="1"/>
  <c r="E1128" s="1"/>
  <c r="F293" s="1"/>
  <c r="E777" i="9"/>
  <c r="E963" s="1"/>
  <c r="E811"/>
  <c r="E997" s="1"/>
  <c r="E1183" s="1"/>
  <c r="F253" s="1"/>
  <c r="H1182" i="34"/>
  <c r="H1015"/>
  <c r="E827" i="32"/>
  <c r="E768"/>
  <c r="E935" s="1"/>
  <c r="E863" i="9"/>
  <c r="E1049" s="1"/>
  <c r="H977" i="27"/>
  <c r="H1163"/>
  <c r="E770" i="32"/>
  <c r="E937" s="1"/>
  <c r="E1104" s="1"/>
  <c r="F269" s="1"/>
  <c r="E823"/>
  <c r="E990" s="1"/>
  <c r="E797"/>
  <c r="E964" s="1"/>
  <c r="E1131" s="1"/>
  <c r="F296" s="1"/>
  <c r="E785" i="9"/>
  <c r="E971" s="1"/>
  <c r="E767" i="32"/>
  <c r="E934" s="1"/>
  <c r="E1101" s="1"/>
  <c r="F266" s="1"/>
  <c r="E776" i="9"/>
  <c r="E962" s="1"/>
  <c r="E1148" s="1"/>
  <c r="F218" s="1"/>
  <c r="E43" i="3"/>
  <c r="D160"/>
  <c r="D13" s="1"/>
  <c r="E812" i="9"/>
  <c r="E998" s="1"/>
  <c r="E803" i="32"/>
  <c r="E970" s="1"/>
  <c r="E699"/>
  <c r="E866" s="1"/>
  <c r="E917" i="9"/>
  <c r="E1103" s="1"/>
  <c r="E771"/>
  <c r="E957" s="1"/>
  <c r="H1197" i="27"/>
  <c r="E844" i="32"/>
  <c r="E1011" s="1"/>
  <c r="E1178" s="1"/>
  <c r="F343" s="1"/>
  <c r="E728"/>
  <c r="E895" s="1"/>
  <c r="E1062" s="1"/>
  <c r="F227" s="1"/>
  <c r="E93" i="3"/>
  <c r="E117" s="1"/>
  <c r="E141" s="1"/>
  <c r="F45" s="1"/>
  <c r="E842" i="32"/>
  <c r="E1009" s="1"/>
  <c r="E896" i="9"/>
  <c r="E1082"/>
  <c r="E1268" s="1"/>
  <c r="F338" s="1"/>
  <c r="E706" i="32"/>
  <c r="E847"/>
  <c r="E1014" s="1"/>
  <c r="E1181" s="1"/>
  <c r="F346" s="1"/>
  <c r="E817"/>
  <c r="E984" s="1"/>
  <c r="E83" i="31"/>
  <c r="E101" s="1"/>
  <c r="E119" s="1"/>
  <c r="F47" s="1"/>
  <c r="E854" i="9"/>
  <c r="E1040" s="1"/>
  <c r="E1226" s="1"/>
  <c r="F296" s="1"/>
  <c r="E800"/>
  <c r="E986" s="1"/>
  <c r="E1172" s="1"/>
  <c r="F242" s="1"/>
  <c r="E711" i="32"/>
  <c r="E731"/>
  <c r="E898" s="1"/>
  <c r="H1001" i="27"/>
  <c r="H1187" s="1"/>
  <c r="H1088" i="34"/>
  <c r="H921"/>
  <c r="H1046" i="27"/>
  <c r="H1232" s="1"/>
  <c r="H894" i="34"/>
  <c r="H1061" s="1"/>
  <c r="H1065" i="27"/>
  <c r="H1251" s="1"/>
  <c r="H967"/>
  <c r="H1153" s="1"/>
  <c r="F926" i="9"/>
  <c r="F1112" s="1"/>
  <c r="F1298" s="1"/>
  <c r="G368" s="1"/>
  <c r="H1114" i="27"/>
  <c r="H1300"/>
  <c r="H94" i="33"/>
  <c r="H112" s="1"/>
  <c r="E84" i="31"/>
  <c r="E102" s="1"/>
  <c r="E120" s="1"/>
  <c r="F48" s="1"/>
  <c r="E908" i="9"/>
  <c r="E1094" s="1"/>
  <c r="E1280" s="1"/>
  <c r="F350" s="1"/>
  <c r="E752" i="32"/>
  <c r="E919" s="1"/>
  <c r="E1086" s="1"/>
  <c r="F251" s="1"/>
  <c r="E94" i="3"/>
  <c r="E118"/>
  <c r="E142" s="1"/>
  <c r="F46" s="1"/>
  <c r="E866" i="9"/>
  <c r="E1052" s="1"/>
  <c r="E1238" s="1"/>
  <c r="F308" s="1"/>
  <c r="E95" i="3"/>
  <c r="E207" i="9"/>
  <c r="D1320"/>
  <c r="D14" s="1"/>
  <c r="E755" i="32"/>
  <c r="E882" i="9"/>
  <c r="E1068" s="1"/>
  <c r="E92" i="3"/>
  <c r="E116" s="1"/>
  <c r="E140" s="1"/>
  <c r="F44" s="1"/>
  <c r="G1310" i="27"/>
  <c r="H380" s="1"/>
  <c r="E108" i="3"/>
  <c r="E782" i="9"/>
  <c r="E968" s="1"/>
  <c r="E1154" s="1"/>
  <c r="F224" s="1"/>
  <c r="E796"/>
  <c r="H1174" i="34"/>
  <c r="H1007"/>
  <c r="E702" i="32"/>
  <c r="E869" s="1"/>
  <c r="E1036" s="1"/>
  <c r="F201" s="1"/>
  <c r="E838" i="9"/>
  <c r="E1024" s="1"/>
  <c r="E1210" s="1"/>
  <c r="F280" s="1"/>
  <c r="E859"/>
  <c r="E1045" s="1"/>
  <c r="E1231" s="1"/>
  <c r="F301" s="1"/>
  <c r="E845" i="32"/>
  <c r="E1012" s="1"/>
  <c r="E1179" s="1"/>
  <c r="F344" s="1"/>
  <c r="E893" i="9"/>
  <c r="E106" i="3"/>
  <c r="E130" s="1"/>
  <c r="E154" s="1"/>
  <c r="F58" s="1"/>
  <c r="E785" i="32"/>
  <c r="E952" s="1"/>
  <c r="E786"/>
  <c r="E953" s="1"/>
  <c r="E1120" s="1"/>
  <c r="F285" s="1"/>
  <c r="E880" i="9"/>
  <c r="E1066" s="1"/>
  <c r="E1252" s="1"/>
  <c r="F322" s="1"/>
  <c r="H1027" i="27"/>
  <c r="H1213"/>
  <c r="E762" i="32"/>
  <c r="E929" s="1"/>
  <c r="E1096" s="1"/>
  <c r="F261" s="1"/>
  <c r="H1002" i="27"/>
  <c r="H1188"/>
  <c r="E746" i="32"/>
  <c r="E913" s="1"/>
  <c r="E1080" s="1"/>
  <c r="F245" s="1"/>
  <c r="E919" i="9"/>
  <c r="E1105" s="1"/>
  <c r="E1291" s="1"/>
  <c r="F361" s="1"/>
  <c r="E789" i="32"/>
  <c r="E956" s="1"/>
  <c r="E1123" s="1"/>
  <c r="F288" s="1"/>
  <c r="E937" i="9"/>
  <c r="E1123" s="1"/>
  <c r="E1309" s="1"/>
  <c r="F379" s="1"/>
  <c r="E714" i="32"/>
  <c r="E881" s="1"/>
  <c r="E885" i="9"/>
  <c r="E1071" s="1"/>
  <c r="E775"/>
  <c r="H999" i="34"/>
  <c r="H1166" s="1"/>
  <c r="H1118"/>
  <c r="H951"/>
  <c r="E796" i="32"/>
  <c r="E963" s="1"/>
  <c r="E1130" s="1"/>
  <c r="F295" s="1"/>
  <c r="E798"/>
  <c r="E965"/>
  <c r="E1132" s="1"/>
  <c r="F297" s="1"/>
  <c r="E707"/>
  <c r="E814" i="9"/>
  <c r="E1000" s="1"/>
  <c r="E1186" s="1"/>
  <c r="F256" s="1"/>
  <c r="E807"/>
  <c r="E993" s="1"/>
  <c r="E1179" s="1"/>
  <c r="F249" s="1"/>
  <c r="E835"/>
  <c r="E1021" s="1"/>
  <c r="E790" i="32"/>
  <c r="E957" s="1"/>
  <c r="H964" i="27"/>
  <c r="H1150" s="1"/>
  <c r="E820" i="9"/>
  <c r="E1006" s="1"/>
  <c r="E903"/>
  <c r="E1089" s="1"/>
  <c r="E1275" s="1"/>
  <c r="F345" s="1"/>
  <c r="E96" i="3"/>
  <c r="E120" s="1"/>
  <c r="E144" s="1"/>
  <c r="F48" s="1"/>
  <c r="E733" i="32"/>
  <c r="E900" s="1"/>
  <c r="E732"/>
  <c r="E899" s="1"/>
  <c r="E1066" s="1"/>
  <c r="F231" s="1"/>
  <c r="E830" i="9"/>
  <c r="E1016" s="1"/>
  <c r="E904"/>
  <c r="E1090" s="1"/>
  <c r="E1276" s="1"/>
  <c r="F346" s="1"/>
  <c r="E730" i="32"/>
  <c r="E897" s="1"/>
  <c r="E824"/>
  <c r="E991" s="1"/>
  <c r="E850" i="9"/>
  <c r="E1036" s="1"/>
  <c r="E1222" s="1"/>
  <c r="F292" s="1"/>
  <c r="E727" i="32"/>
  <c r="E894" s="1"/>
  <c r="E1061" s="1"/>
  <c r="F226" s="1"/>
  <c r="H134" i="29"/>
  <c r="H158"/>
  <c r="H891" i="34"/>
  <c r="H1058"/>
  <c r="E734" i="32"/>
  <c r="E812"/>
  <c r="E979" s="1"/>
  <c r="E745"/>
  <c r="E912"/>
  <c r="E905" i="9"/>
  <c r="E1091" s="1"/>
  <c r="E1277" s="1"/>
  <c r="F347" s="1"/>
  <c r="E830" i="32"/>
  <c r="E997" s="1"/>
  <c r="E1164" s="1"/>
  <c r="F329" s="1"/>
  <c r="E778"/>
  <c r="E945" s="1"/>
  <c r="E1112" s="1"/>
  <c r="F277" s="1"/>
  <c r="E779" i="9"/>
  <c r="E965" s="1"/>
  <c r="E1151" s="1"/>
  <c r="F221" s="1"/>
  <c r="E924"/>
  <c r="E1110" s="1"/>
  <c r="E1296" s="1"/>
  <c r="F366" s="1"/>
  <c r="E757" i="32"/>
  <c r="E924"/>
  <c r="E791"/>
  <c r="E958" s="1"/>
  <c r="E1125" s="1"/>
  <c r="F290" s="1"/>
  <c r="E832"/>
  <c r="E999" s="1"/>
  <c r="E815" i="9"/>
  <c r="E1001" s="1"/>
  <c r="E1187" s="1"/>
  <c r="F257" s="1"/>
  <c r="E913"/>
  <c r="E819"/>
  <c r="E1005" s="1"/>
  <c r="E1191" s="1"/>
  <c r="F261" s="1"/>
  <c r="E103" i="3"/>
  <c r="E127"/>
  <c r="E776" i="32"/>
  <c r="E853"/>
  <c r="E1020" s="1"/>
  <c r="E920" i="9"/>
  <c r="E1106" s="1"/>
  <c r="I33" i="44"/>
  <c r="I34" s="1"/>
  <c r="E861" i="9"/>
  <c r="H1009" i="34"/>
  <c r="H1176" s="1"/>
  <c r="H991"/>
  <c r="H1158" s="1"/>
  <c r="H1011"/>
  <c r="H1178" s="1"/>
  <c r="H859"/>
  <c r="H1026" s="1"/>
  <c r="H886"/>
  <c r="H1053" s="1"/>
  <c r="H900"/>
  <c r="H1067" s="1"/>
  <c r="H981" i="27"/>
  <c r="H1167" s="1"/>
  <c r="H898" i="34"/>
  <c r="H1065" s="1"/>
  <c r="G25" i="43"/>
  <c r="G21"/>
  <c r="G39" s="1"/>
  <c r="H1094" i="27"/>
  <c r="H1280"/>
  <c r="H1041"/>
  <c r="H1227" s="1"/>
  <c r="E773" i="9"/>
  <c r="E959" s="1"/>
  <c r="E889"/>
  <c r="E1075" s="1"/>
  <c r="E763" i="32"/>
  <c r="E930" s="1"/>
  <c r="E844" i="9"/>
  <c r="E1030" s="1"/>
  <c r="E1216" s="1"/>
  <c r="F286" s="1"/>
  <c r="H1291" i="27"/>
  <c r="E860" i="9"/>
  <c r="E843"/>
  <c r="E1029"/>
  <c r="E754" i="32"/>
  <c r="E921" s="1"/>
  <c r="E1088" s="1"/>
  <c r="F253" s="1"/>
  <c r="E901" i="9"/>
  <c r="E1087" s="1"/>
  <c r="E1273" s="1"/>
  <c r="F343" s="1"/>
  <c r="E801"/>
  <c r="I103" i="2"/>
  <c r="I104" s="1"/>
  <c r="E811" i="32"/>
  <c r="E978" s="1"/>
  <c r="E813"/>
  <c r="E980" s="1"/>
  <c r="E1147" s="1"/>
  <c r="F312" s="1"/>
  <c r="E748"/>
  <c r="E915" s="1"/>
  <c r="E1082" s="1"/>
  <c r="F247" s="1"/>
  <c r="H1305" i="27"/>
  <c r="H1119"/>
  <c r="H981" i="34"/>
  <c r="H1148"/>
  <c r="E787" i="9"/>
  <c r="E973" s="1"/>
  <c r="E1159" s="1"/>
  <c r="F229" s="1"/>
  <c r="H1075" i="34"/>
  <c r="H908"/>
  <c r="E828" i="9"/>
  <c r="E1014" s="1"/>
  <c r="E1200" s="1"/>
  <c r="F270" s="1"/>
  <c r="E805" i="32"/>
  <c r="E972" s="1"/>
  <c r="E1139" s="1"/>
  <c r="F304" s="1"/>
  <c r="E753"/>
  <c r="E920" s="1"/>
  <c r="E1087" s="1"/>
  <c r="F252" s="1"/>
  <c r="E744"/>
  <c r="E911" s="1"/>
  <c r="E842" i="9"/>
  <c r="E1028" s="1"/>
  <c r="H858" i="34"/>
  <c r="H1025" s="1"/>
  <c r="E933" i="9"/>
  <c r="E1119" s="1"/>
  <c r="E1305" s="1"/>
  <c r="F375" s="1"/>
  <c r="H1049" i="34"/>
  <c r="H882"/>
  <c r="E947" i="9"/>
  <c r="E1133" s="1"/>
  <c r="E1319" s="1"/>
  <c r="F389" s="1"/>
  <c r="E826" i="32"/>
  <c r="E993" s="1"/>
  <c r="E1160" s="1"/>
  <c r="F325" s="1"/>
  <c r="E81" i="31"/>
  <c r="E99" s="1"/>
  <c r="E865" i="9"/>
  <c r="E894"/>
  <c r="E1080" s="1"/>
  <c r="E1266" s="1"/>
  <c r="F336" s="1"/>
  <c r="E891"/>
  <c r="E946"/>
  <c r="E1132" s="1"/>
  <c r="E1318" s="1"/>
  <c r="F388" s="1"/>
  <c r="E800" i="32"/>
  <c r="E967" s="1"/>
  <c r="E907" i="9"/>
  <c r="E1093" s="1"/>
  <c r="E822" i="32"/>
  <c r="E989" s="1"/>
  <c r="E1156" s="1"/>
  <c r="F321" s="1"/>
  <c r="E838"/>
  <c r="E1005" s="1"/>
  <c r="E1172" s="1"/>
  <c r="F337" s="1"/>
  <c r="E695"/>
  <c r="E862" s="1"/>
  <c r="E1029" s="1"/>
  <c r="F194" s="1"/>
  <c r="E771"/>
  <c r="E772" i="9"/>
  <c r="E958" s="1"/>
  <c r="E1144" s="1"/>
  <c r="F214" s="1"/>
  <c r="E843" i="32"/>
  <c r="E1010" s="1"/>
  <c r="E109" i="3"/>
  <c r="E133" s="1"/>
  <c r="H975" i="34"/>
  <c r="H1142" s="1"/>
  <c r="H961"/>
  <c r="H1128"/>
  <c r="H104" i="33"/>
  <c r="H122" s="1"/>
  <c r="H893" i="34"/>
  <c r="H1060" s="1"/>
  <c r="H987"/>
  <c r="H1154" s="1"/>
  <c r="H877"/>
  <c r="H1044" s="1"/>
  <c r="H1120" i="27"/>
  <c r="H1306"/>
  <c r="E777" i="32"/>
  <c r="E944" s="1"/>
  <c r="H973" i="27"/>
  <c r="H1159" s="1"/>
  <c r="E759" i="32"/>
  <c r="E926" s="1"/>
  <c r="E1093" s="1"/>
  <c r="F258" s="1"/>
  <c r="H866" i="34"/>
  <c r="H1033" s="1"/>
  <c r="H897"/>
  <c r="H1064" s="1"/>
  <c r="H1038" i="27"/>
  <c r="H1224"/>
  <c r="E819" i="32"/>
  <c r="E97" i="3"/>
  <c r="E121" s="1"/>
  <c r="E145" s="1"/>
  <c r="F49" s="1"/>
  <c r="E856" i="9"/>
  <c r="E1042" s="1"/>
  <c r="E1228" s="1"/>
  <c r="F298" s="1"/>
  <c r="G1148" i="27"/>
  <c r="H218" s="1"/>
  <c r="E806" i="32"/>
  <c r="E973" s="1"/>
  <c r="E1140" s="1"/>
  <c r="F305" s="1"/>
  <c r="E710"/>
  <c r="E877" s="1"/>
  <c r="E1044" s="1"/>
  <c r="F209" s="1"/>
  <c r="E840" i="9"/>
  <c r="E1026" s="1"/>
  <c r="E788"/>
  <c r="E974" s="1"/>
  <c r="E1160" s="1"/>
  <c r="F230" s="1"/>
  <c r="H967" i="34"/>
  <c r="H1134" s="1"/>
  <c r="E846" i="32"/>
  <c r="H1111" i="27"/>
  <c r="H1297" s="1"/>
  <c r="E736" i="32"/>
  <c r="E903" s="1"/>
  <c r="E1070" s="1"/>
  <c r="F235" s="1"/>
  <c r="E897" i="9"/>
  <c r="E1083" s="1"/>
  <c r="E764" i="32"/>
  <c r="E931" s="1"/>
  <c r="E1098" s="1"/>
  <c r="F263" s="1"/>
  <c r="E829" i="9"/>
  <c r="E1015" s="1"/>
  <c r="E760" i="32"/>
  <c r="E927" s="1"/>
  <c r="E862" i="9"/>
  <c r="E1048"/>
  <c r="E1234" s="1"/>
  <c r="F304" s="1"/>
  <c r="E836"/>
  <c r="E107" i="3"/>
  <c r="E131" s="1"/>
  <c r="E155" s="1"/>
  <c r="F59" s="1"/>
  <c r="E831" i="32"/>
  <c r="E998" s="1"/>
  <c r="E1165" s="1"/>
  <c r="F330" s="1"/>
  <c r="E694"/>
  <c r="E861" s="1"/>
  <c r="E1028" s="1"/>
  <c r="F193" s="1"/>
  <c r="E809"/>
  <c r="E976" s="1"/>
  <c r="H933" i="34"/>
  <c r="H1100" s="1"/>
  <c r="E751" i="32"/>
  <c r="E918" s="1"/>
  <c r="E1085" s="1"/>
  <c r="F250" s="1"/>
  <c r="E52" i="42"/>
  <c r="E78"/>
  <c r="E823" i="9"/>
  <c r="E1009" s="1"/>
  <c r="E1195" s="1"/>
  <c r="F265" s="1"/>
  <c r="E700" i="32"/>
  <c r="E867" s="1"/>
  <c r="E1034" s="1"/>
  <c r="F199" s="1"/>
  <c r="H965" i="34"/>
  <c r="H1132" s="1"/>
  <c r="E839" i="32"/>
  <c r="E1006" s="1"/>
  <c r="E1173" s="1"/>
  <c r="F338" s="1"/>
  <c r="E816"/>
  <c r="E983" s="1"/>
  <c r="E1150" s="1"/>
  <c r="F315" s="1"/>
  <c r="H919" i="34"/>
  <c r="H1086" s="1"/>
  <c r="H856"/>
  <c r="H1023" s="1"/>
  <c r="H878"/>
  <c r="H1045" s="1"/>
  <c r="H909"/>
  <c r="H1076" s="1"/>
  <c r="E741" i="32"/>
  <c r="E908" s="1"/>
  <c r="E797" i="9"/>
  <c r="E941"/>
  <c r="E1127" s="1"/>
  <c r="E1313" s="1"/>
  <c r="F383" s="1"/>
  <c r="E698" i="32"/>
  <c r="E865" s="1"/>
  <c r="E1032" s="1"/>
  <c r="F197" s="1"/>
  <c r="E912" i="9"/>
  <c r="E1098"/>
  <c r="E1284" s="1"/>
  <c r="F354" s="1"/>
  <c r="E849" i="32"/>
  <c r="E1016"/>
  <c r="E1183" s="1"/>
  <c r="F348" s="1"/>
  <c r="H999" i="27"/>
  <c r="H1185"/>
  <c r="H1037"/>
  <c r="H1223"/>
  <c r="E708" i="32"/>
  <c r="E902" i="9"/>
  <c r="E1088" s="1"/>
  <c r="E1274" s="1"/>
  <c r="F344" s="1"/>
  <c r="H1017" i="34"/>
  <c r="H1184" s="1"/>
  <c r="E718" i="32"/>
  <c r="E885" s="1"/>
  <c r="E925" i="9"/>
  <c r="E1111" s="1"/>
  <c r="E104" i="3"/>
  <c r="E128" s="1"/>
  <c r="E944" i="9"/>
  <c r="E858"/>
  <c r="E1044" s="1"/>
  <c r="E1230" s="1"/>
  <c r="F300" s="1"/>
  <c r="H876" i="34"/>
  <c r="H1043" s="1"/>
  <c r="E910" i="9"/>
  <c r="E1096" s="1"/>
  <c r="E900"/>
  <c r="E1086" s="1"/>
  <c r="E869"/>
  <c r="H906" i="34"/>
  <c r="H1073" s="1"/>
  <c r="H96" i="33"/>
  <c r="H114" s="1"/>
  <c r="H907" i="34"/>
  <c r="H1074" s="1"/>
  <c r="H1221" i="27"/>
  <c r="H1035"/>
  <c r="E98" i="3"/>
  <c r="E122" s="1"/>
  <c r="E146" s="1"/>
  <c r="F50" s="1"/>
  <c r="E102"/>
  <c r="E126" s="1"/>
  <c r="H1059" i="27"/>
  <c r="H1245"/>
  <c r="E101" i="3"/>
  <c r="E125" s="1"/>
  <c r="E149" s="1"/>
  <c r="F53" s="1"/>
  <c r="E783" i="32"/>
  <c r="E950" s="1"/>
  <c r="E1117" s="1"/>
  <c r="F282" s="1"/>
  <c r="E806" i="9"/>
  <c r="E992" s="1"/>
  <c r="E1178" s="1"/>
  <c r="F248" s="1"/>
  <c r="E721" i="32"/>
  <c r="E888" s="1"/>
  <c r="E890" i="9"/>
  <c r="E1076" s="1"/>
  <c r="E768"/>
  <c r="E954" s="1"/>
  <c r="E1140" s="1"/>
  <c r="F210" s="1"/>
  <c r="E887"/>
  <c r="E1073" s="1"/>
  <c r="E1259" s="1"/>
  <c r="F329" s="1"/>
  <c r="E697" i="32"/>
  <c r="E864"/>
  <c r="E829"/>
  <c r="E996"/>
  <c r="E1163" s="1"/>
  <c r="F328" s="1"/>
  <c r="E825"/>
  <c r="E992" s="1"/>
  <c r="E804" i="9"/>
  <c r="E990" s="1"/>
  <c r="E1176" s="1"/>
  <c r="F246" s="1"/>
  <c r="E189" i="32"/>
  <c r="D1188"/>
  <c r="D14" s="1"/>
  <c r="E799" i="9"/>
  <c r="E985" s="1"/>
  <c r="E1171" s="1"/>
  <c r="F241" s="1"/>
  <c r="E799" i="32"/>
  <c r="E966" s="1"/>
  <c r="E1133" s="1"/>
  <c r="F298" s="1"/>
  <c r="E779"/>
  <c r="E946" s="1"/>
  <c r="E78" i="31"/>
  <c r="E96" s="1"/>
  <c r="E931" i="9"/>
  <c r="E1117" s="1"/>
  <c r="E833" i="32"/>
  <c r="E1000" s="1"/>
  <c r="E850"/>
  <c r="E1017" s="1"/>
  <c r="E1184" s="1"/>
  <c r="F349" s="1"/>
  <c r="E790" i="9"/>
  <c r="E976" s="1"/>
  <c r="E1162" s="1"/>
  <c r="F232" s="1"/>
  <c r="E835" i="32"/>
  <c r="E1002" s="1"/>
  <c r="E886" i="9"/>
  <c r="E1072" s="1"/>
  <c r="E1258" s="1"/>
  <c r="F328" s="1"/>
  <c r="E735" i="32"/>
  <c r="E902" s="1"/>
  <c r="E1069" s="1"/>
  <c r="F234" s="1"/>
  <c r="E870" i="9"/>
  <c r="E1056" s="1"/>
  <c r="F934"/>
  <c r="F1120" s="1"/>
  <c r="F1306" s="1"/>
  <c r="G376" s="1"/>
  <c r="H875" i="34"/>
  <c r="H1042"/>
  <c r="E852" i="9"/>
  <c r="E1038" s="1"/>
  <c r="E691" i="32"/>
  <c r="E858" s="1"/>
  <c r="E898" i="9"/>
  <c r="E1084" s="1"/>
  <c r="E1270" s="1"/>
  <c r="F340" s="1"/>
  <c r="E802" i="32"/>
  <c r="E969" s="1"/>
  <c r="E1136" s="1"/>
  <c r="F301" s="1"/>
  <c r="H1123" i="27"/>
  <c r="H1309"/>
  <c r="H1019"/>
  <c r="H1205" s="1"/>
  <c r="H1048" i="34"/>
  <c r="H881"/>
  <c r="H911"/>
  <c r="H1078" s="1"/>
  <c r="H1003"/>
  <c r="H1170" s="1"/>
  <c r="F932" i="9"/>
  <c r="F1118" s="1"/>
  <c r="F1304" s="1"/>
  <c r="G374" s="1"/>
  <c r="H1033" i="27"/>
  <c r="H1219" s="1"/>
  <c r="E85" i="31"/>
  <c r="E103"/>
  <c r="E121" s="1"/>
  <c r="F49" s="1"/>
  <c r="I8" i="39"/>
  <c r="I66" i="23"/>
  <c r="E884" i="9"/>
  <c r="E716" i="32"/>
  <c r="E883" s="1"/>
  <c r="E1050" s="1"/>
  <c r="F215" s="1"/>
  <c r="E726"/>
  <c r="E893" s="1"/>
  <c r="E105" i="3"/>
  <c r="E129" s="1"/>
  <c r="E848" i="32"/>
  <c r="E1015"/>
  <c r="E1182" s="1"/>
  <c r="F347" s="1"/>
  <c r="E817" i="9"/>
  <c r="E1003" s="1"/>
  <c r="E837" i="32"/>
  <c r="E1004" s="1"/>
  <c r="E1171" s="1"/>
  <c r="F336" s="1"/>
  <c r="E914" i="9"/>
  <c r="E1100" s="1"/>
  <c r="E743" i="32"/>
  <c r="E910" s="1"/>
  <c r="E1077" s="1"/>
  <c r="F242" s="1"/>
  <c r="E916" i="9"/>
  <c r="E1102" s="1"/>
  <c r="E1288" s="1"/>
  <c r="F358" s="1"/>
  <c r="H1025" i="27"/>
  <c r="H1211" s="1"/>
  <c r="G1076"/>
  <c r="G1262" s="1"/>
  <c r="H332" s="1"/>
  <c r="H146"/>
  <c r="H984" i="34"/>
  <c r="H1151" s="1"/>
  <c r="E87" i="31"/>
  <c r="E105" s="1"/>
  <c r="E123" s="1"/>
  <c r="F51" s="1"/>
  <c r="H1156" i="34"/>
  <c r="H1026" i="27"/>
  <c r="G1067"/>
  <c r="H137"/>
  <c r="H1067" s="1"/>
  <c r="E899" i="9"/>
  <c r="E1085" s="1"/>
  <c r="E765" i="32"/>
  <c r="E932" s="1"/>
  <c r="F39" i="42"/>
  <c r="F61"/>
  <c r="F93" s="1"/>
  <c r="E769" i="32"/>
  <c r="E810" i="9"/>
  <c r="E996" s="1"/>
  <c r="E32" i="4"/>
  <c r="H1006" i="27"/>
  <c r="H1192" s="1"/>
  <c r="G35" i="4"/>
  <c r="G20" i="20"/>
  <c r="G23" s="1"/>
  <c r="E825" i="9"/>
  <c r="E1011" s="1"/>
  <c r="H945" i="34"/>
  <c r="H1112" s="1"/>
  <c r="H1031" i="27"/>
  <c r="H1217" s="1"/>
  <c r="H21" i="34"/>
  <c r="H1069"/>
  <c r="H1172"/>
  <c r="H1005"/>
  <c r="H1054" i="27"/>
  <c r="H1240" s="1"/>
  <c r="H1024"/>
  <c r="H1210" s="1"/>
  <c r="H977" i="34"/>
  <c r="H1144"/>
  <c r="H1180"/>
  <c r="H1013"/>
  <c r="E20" i="41"/>
  <c r="E69" i="4"/>
  <c r="E61" i="41"/>
  <c r="H940" i="34"/>
  <c r="H1107" s="1"/>
  <c r="E808" i="32"/>
  <c r="E975" s="1"/>
  <c r="E749"/>
  <c r="E916" s="1"/>
  <c r="E936" i="9"/>
  <c r="E1122" s="1"/>
  <c r="I71" i="2"/>
  <c r="I118" i="41"/>
  <c r="G1132" i="27"/>
  <c r="G1318" s="1"/>
  <c r="H388" s="1"/>
  <c r="E852" i="32"/>
  <c r="E1019" s="1"/>
  <c r="E1186" s="1"/>
  <c r="F351" s="1"/>
  <c r="E778" i="9"/>
  <c r="E964" s="1"/>
  <c r="E1150" s="1"/>
  <c r="F220" s="1"/>
  <c r="H56" i="43"/>
  <c r="E38" i="31"/>
  <c r="D125"/>
  <c r="D14" s="1"/>
  <c r="E767" i="9"/>
  <c r="E953" s="1"/>
  <c r="E774"/>
  <c r="E960" s="1"/>
  <c r="E1146" s="1"/>
  <c r="F216" s="1"/>
  <c r="E793"/>
  <c r="E979" s="1"/>
  <c r="E929"/>
  <c r="E1115" s="1"/>
  <c r="E918"/>
  <c r="E1104" s="1"/>
  <c r="E1290" s="1"/>
  <c r="F360" s="1"/>
  <c r="E780" i="32"/>
  <c r="E947" s="1"/>
  <c r="E1114" s="1"/>
  <c r="F279" s="1"/>
  <c r="E795"/>
  <c r="E962" s="1"/>
  <c r="E740"/>
  <c r="E840"/>
  <c r="E1007" s="1"/>
  <c r="E1174" s="1"/>
  <c r="F339" s="1"/>
  <c r="E781" i="9"/>
  <c r="E967" s="1"/>
  <c r="E747" i="32"/>
  <c r="E914" s="1"/>
  <c r="E795" i="9"/>
  <c r="E981" s="1"/>
  <c r="I6" i="39"/>
  <c r="I64" i="23"/>
  <c r="E739" i="32"/>
  <c r="E906" s="1"/>
  <c r="E738"/>
  <c r="E905" s="1"/>
  <c r="E1072" s="1"/>
  <c r="F237" s="1"/>
  <c r="E935" i="9"/>
  <c r="E1121" s="1"/>
  <c r="E1307" s="1"/>
  <c r="F377" s="1"/>
  <c r="H19" i="32"/>
  <c r="D89" i="1" s="1"/>
  <c r="H71" i="2"/>
  <c r="H118" i="41"/>
  <c r="E1128" i="9"/>
  <c r="E1314" s="1"/>
  <c r="F384" s="1"/>
  <c r="G954" i="27"/>
  <c r="H24"/>
  <c r="I52" i="43"/>
  <c r="I56" s="1"/>
  <c r="I10" i="38"/>
  <c r="I52" i="44"/>
  <c r="I56" s="1"/>
  <c r="I54" i="42"/>
  <c r="I58" s="1"/>
  <c r="I29" i="36"/>
  <c r="I32" s="1"/>
  <c r="I32" i="35" s="1"/>
  <c r="D54" i="42"/>
  <c r="G1140" i="27"/>
  <c r="H210" s="1"/>
  <c r="H33" i="9"/>
  <c r="E18" i="35"/>
  <c r="E110" i="33"/>
  <c r="H1167" i="34"/>
  <c r="G860"/>
  <c r="G1027" s="1"/>
  <c r="H192" s="1"/>
  <c r="H26"/>
  <c r="H1133" i="27"/>
  <c r="H1319" s="1"/>
  <c r="H861" i="34"/>
  <c r="H1028" s="1"/>
  <c r="H964"/>
  <c r="H1131" s="1"/>
  <c r="E53" i="43"/>
  <c r="F23" i="42"/>
  <c r="G18" s="1"/>
  <c r="E742" i="32"/>
  <c r="E909" s="1"/>
  <c r="E1076" s="1"/>
  <c r="F241" s="1"/>
  <c r="H1275" i="27"/>
  <c r="H1089"/>
  <c r="H1099"/>
  <c r="H1285" s="1"/>
  <c r="E719" i="32"/>
  <c r="E886" s="1"/>
  <c r="E1053" s="1"/>
  <c r="F218" s="1"/>
  <c r="E849" i="9"/>
  <c r="E1035" s="1"/>
  <c r="E1221" s="1"/>
  <c r="F291" s="1"/>
  <c r="E927"/>
  <c r="E1113" s="1"/>
  <c r="H1003" i="27"/>
  <c r="H1189"/>
  <c r="E911" i="9"/>
  <c r="E1097" s="1"/>
  <c r="E1283" s="1"/>
  <c r="F353" s="1"/>
  <c r="E82" i="31"/>
  <c r="E100" s="1"/>
  <c r="E118" s="1"/>
  <c r="F46" s="1"/>
  <c r="E791" i="9"/>
  <c r="E977" s="1"/>
  <c r="E1163" s="1"/>
  <c r="F233" s="1"/>
  <c r="E99" i="3"/>
  <c r="E123" s="1"/>
  <c r="E813" i="9"/>
  <c r="E999" s="1"/>
  <c r="E701" i="32"/>
  <c r="E868" s="1"/>
  <c r="E873" i="9"/>
  <c r="E1059" s="1"/>
  <c r="E1245" s="1"/>
  <c r="F315" s="1"/>
  <c r="E782" i="32"/>
  <c r="E949" s="1"/>
  <c r="E1116" s="1"/>
  <c r="F281" s="1"/>
  <c r="E712"/>
  <c r="E879" s="1"/>
  <c r="E703"/>
  <c r="E870" s="1"/>
  <c r="G1142" i="27"/>
  <c r="H212" s="1"/>
  <c r="H1020"/>
  <c r="H1206" s="1"/>
  <c r="H1126"/>
  <c r="H1312" s="1"/>
  <c r="E883" i="9"/>
  <c r="E1069" s="1"/>
  <c r="E1255" s="1"/>
  <c r="F325" s="1"/>
  <c r="E821"/>
  <c r="E1007" s="1"/>
  <c r="I32" i="23"/>
  <c r="H8" i="38"/>
  <c r="H37" i="23"/>
  <c r="E815" i="32"/>
  <c r="E982" s="1"/>
  <c r="E1149" s="1"/>
  <c r="F314" s="1"/>
  <c r="E21" i="41"/>
  <c r="E21" i="20" s="1"/>
  <c r="E62" i="41"/>
  <c r="E68" i="35"/>
  <c r="E74" s="1"/>
  <c r="E855" i="9"/>
  <c r="E1041" s="1"/>
  <c r="E1227" s="1"/>
  <c r="F297" s="1"/>
  <c r="H123" i="33"/>
  <c r="H947" i="34"/>
  <c r="H1114"/>
  <c r="E836" i="32"/>
  <c r="E1003" s="1"/>
  <c r="E1170" s="1"/>
  <c r="F335" s="1"/>
  <c r="E814"/>
  <c r="E981" s="1"/>
  <c r="E1148" s="1"/>
  <c r="F313" s="1"/>
  <c r="E834" i="9"/>
  <c r="E1020" s="1"/>
  <c r="E774" i="32"/>
  <c r="E941" s="1"/>
  <c r="E837" i="9"/>
  <c r="E1023" s="1"/>
  <c r="H1236" i="27"/>
  <c r="H1050"/>
  <c r="E881" i="9"/>
  <c r="E1067" s="1"/>
  <c r="E871"/>
  <c r="E1057" s="1"/>
  <c r="H32" i="36"/>
  <c r="E867" i="9"/>
  <c r="E1053" s="1"/>
  <c r="E1239" s="1"/>
  <c r="F309" s="1"/>
  <c r="E38" i="4"/>
  <c r="E72" s="1"/>
  <c r="E74" i="41" s="1"/>
  <c r="E94" s="1"/>
  <c r="E18" i="4"/>
  <c r="E51"/>
  <c r="E52" s="1"/>
  <c r="E44" i="20"/>
  <c r="E53" i="41"/>
  <c r="E53" i="20"/>
  <c r="E44" i="41"/>
  <c r="H1023" i="27"/>
  <c r="H1209"/>
  <c r="E841" i="9"/>
  <c r="E1027" s="1"/>
  <c r="H948" i="34"/>
  <c r="H1115" s="1"/>
  <c r="F20" i="20"/>
  <c r="F23" s="1"/>
  <c r="F27" s="1"/>
  <c r="F23" i="41"/>
  <c r="F27" s="1"/>
  <c r="H1105" i="27"/>
  <c r="I10" i="39"/>
  <c r="I86" i="42"/>
  <c r="I90" s="1"/>
  <c r="I54" i="36"/>
  <c r="I57" s="1"/>
  <c r="I65" i="35" s="1"/>
  <c r="E816" i="9"/>
  <c r="E1002" s="1"/>
  <c r="E705" i="32"/>
  <c r="E872" s="1"/>
  <c r="E19" i="4"/>
  <c r="E53" s="1"/>
  <c r="E106" i="41"/>
  <c r="H1168" i="34"/>
  <c r="G1117" i="27"/>
  <c r="G1303" s="1"/>
  <c r="H373" s="1"/>
  <c r="H187"/>
  <c r="H122" i="32"/>
  <c r="E50" i="44"/>
  <c r="H1132" i="27"/>
  <c r="F37" i="44"/>
  <c r="F38" s="1"/>
  <c r="F59"/>
  <c r="F62" s="1"/>
  <c r="F64" s="1"/>
  <c r="H138" i="9"/>
  <c r="I34" i="43"/>
  <c r="H195" i="9"/>
  <c r="F92" i="42"/>
  <c r="H23" i="32"/>
  <c r="H147" i="9"/>
  <c r="E35" i="35"/>
  <c r="E41" s="1"/>
  <c r="H957" i="34"/>
  <c r="F39" i="4"/>
  <c r="F73" s="1"/>
  <c r="F62"/>
  <c r="H67" i="23"/>
  <c r="G28" i="4"/>
  <c r="G25" i="20"/>
  <c r="G25" i="41"/>
  <c r="G66"/>
  <c r="G85" s="1"/>
  <c r="G11" i="9"/>
  <c r="H90" i="41"/>
  <c r="H91" s="1"/>
  <c r="G49" i="42"/>
  <c r="G81" s="1"/>
  <c r="G60"/>
  <c r="F59" i="43"/>
  <c r="F62" s="1"/>
  <c r="F64" s="1"/>
  <c r="F37"/>
  <c r="F38" s="1"/>
  <c r="E775" i="32"/>
  <c r="E942" s="1"/>
  <c r="E1109" s="1"/>
  <c r="F274" s="1"/>
  <c r="E786" i="9"/>
  <c r="E972" s="1"/>
  <c r="E1158" s="1"/>
  <c r="F228" s="1"/>
  <c r="F68" i="41"/>
  <c r="F84"/>
  <c r="E715" i="32"/>
  <c r="G962" i="27"/>
  <c r="H32"/>
  <c r="E792" i="32"/>
  <c r="E959" s="1"/>
  <c r="E828"/>
  <c r="E995"/>
  <c r="E807"/>
  <c r="E974" s="1"/>
  <c r="E1141" s="1"/>
  <c r="F306" s="1"/>
  <c r="D1134" i="9"/>
  <c r="D13" s="1"/>
  <c r="E945"/>
  <c r="E1131" s="1"/>
  <c r="E1317" s="1"/>
  <c r="F387" s="1"/>
  <c r="H1100" i="27"/>
  <c r="H1286"/>
  <c r="H868" i="34"/>
  <c r="H1035" s="1"/>
  <c r="I58" i="43"/>
  <c r="I47"/>
  <c r="D47" s="1"/>
  <c r="H1313" i="27"/>
  <c r="G1253"/>
  <c r="H323" s="1"/>
  <c r="E923" i="9"/>
  <c r="E1109" s="1"/>
  <c r="H56" i="44"/>
  <c r="D52"/>
  <c r="E846" i="9"/>
  <c r="E1032" s="1"/>
  <c r="E1218" s="1"/>
  <c r="F288" s="1"/>
  <c r="E1022" i="34"/>
  <c r="E351"/>
  <c r="E9" s="1"/>
  <c r="E855"/>
  <c r="E1019" s="1"/>
  <c r="E13" s="1"/>
  <c r="G956" i="27"/>
  <c r="H26"/>
  <c r="H956" s="1"/>
  <c r="E803" i="9"/>
  <c r="E989" s="1"/>
  <c r="E1175" s="1"/>
  <c r="F245" s="1"/>
  <c r="H864" i="34"/>
  <c r="H1031" s="1"/>
  <c r="E872" i="9"/>
  <c r="E1058" s="1"/>
  <c r="E1244" s="1"/>
  <c r="F314" s="1"/>
  <c r="E801" i="32"/>
  <c r="E968" s="1"/>
  <c r="H969" i="27"/>
  <c r="H1155" s="1"/>
  <c r="E717" i="32"/>
  <c r="E884" s="1"/>
  <c r="E100" i="3"/>
  <c r="E124" s="1"/>
  <c r="E148" s="1"/>
  <c r="F52" s="1"/>
  <c r="E831" i="9"/>
  <c r="E1017"/>
  <c r="E847"/>
  <c r="E1033" s="1"/>
  <c r="E1219" s="1"/>
  <c r="F289" s="1"/>
  <c r="E845"/>
  <c r="E1031" s="1"/>
  <c r="E1217" s="1"/>
  <c r="F287" s="1"/>
  <c r="E820" i="32"/>
  <c r="E987" s="1"/>
  <c r="E1154" s="1"/>
  <c r="F319" s="1"/>
  <c r="E766" i="9"/>
  <c r="E952" s="1"/>
  <c r="E1138" s="1"/>
  <c r="F208" s="1"/>
  <c r="H915" i="34"/>
  <c r="H1082" s="1"/>
  <c r="H1140"/>
  <c r="H1052" i="27"/>
  <c r="H1238"/>
  <c r="H943" i="34"/>
  <c r="H1110" s="1"/>
  <c r="H904"/>
  <c r="H1071" s="1"/>
  <c r="H1055"/>
  <c r="H888"/>
  <c r="H890"/>
  <c r="H1057" s="1"/>
  <c r="H1098" i="27"/>
  <c r="H1284"/>
  <c r="H1102"/>
  <c r="H1288" s="1"/>
  <c r="H1118"/>
  <c r="H1304" s="1"/>
  <c r="E879" i="9"/>
  <c r="E1065" s="1"/>
  <c r="E1251" s="1"/>
  <c r="F321" s="1"/>
  <c r="H68" i="35"/>
  <c r="H62" i="41"/>
  <c r="H21"/>
  <c r="E704" i="32"/>
  <c r="E871" s="1"/>
  <c r="G954" i="34"/>
  <c r="G1121" s="1"/>
  <c r="H286" s="1"/>
  <c r="H120"/>
  <c r="E737" i="32"/>
  <c r="G1124" i="27"/>
  <c r="H194"/>
  <c r="E822" i="9"/>
  <c r="E1008" s="1"/>
  <c r="E1194" s="1"/>
  <c r="F264" s="1"/>
  <c r="E783"/>
  <c r="E969" s="1"/>
  <c r="E1155" s="1"/>
  <c r="F225" s="1"/>
  <c r="E713" i="32"/>
  <c r="E880"/>
  <c r="E1047" s="1"/>
  <c r="F212" s="1"/>
  <c r="E805" i="9"/>
  <c r="I7" i="39"/>
  <c r="I65" i="23"/>
  <c r="E906" i="9"/>
  <c r="E1092" s="1"/>
  <c r="E1278" s="1"/>
  <c r="F348" s="1"/>
  <c r="E841" i="32"/>
  <c r="E1008" s="1"/>
  <c r="E798" i="9"/>
  <c r="E984" s="1"/>
  <c r="E848"/>
  <c r="E1034" s="1"/>
  <c r="E1220" s="1"/>
  <c r="F290" s="1"/>
  <c r="G1110" i="27"/>
  <c r="G1296" s="1"/>
  <c r="H366" s="1"/>
  <c r="H959" i="34"/>
  <c r="H1126" s="1"/>
  <c r="D136" i="3"/>
  <c r="D12" s="1"/>
  <c r="D1021" i="32"/>
  <c r="D13" s="1"/>
  <c r="H1011" i="27"/>
  <c r="E802" i="9"/>
  <c r="E988" s="1"/>
  <c r="E1174" s="1"/>
  <c r="F244" s="1"/>
  <c r="E878"/>
  <c r="E1064" s="1"/>
  <c r="E76" i="31"/>
  <c r="E94"/>
  <c r="H47" i="44"/>
  <c r="H58"/>
  <c r="I31" i="23"/>
  <c r="H7" i="38"/>
  <c r="H36" i="23"/>
  <c r="H1124" i="34"/>
  <c r="E833" i="9"/>
  <c r="E725" i="32"/>
  <c r="E892" s="1"/>
  <c r="H1008" i="27"/>
  <c r="H1194" s="1"/>
  <c r="E939" i="9"/>
  <c r="E1125" s="1"/>
  <c r="G64" i="41"/>
  <c r="H1069" i="27"/>
  <c r="H1255"/>
  <c r="E79" i="31"/>
  <c r="E97" s="1"/>
  <c r="G71" i="38"/>
  <c r="G114" s="1"/>
  <c r="G157" s="1"/>
  <c r="G65"/>
  <c r="G108" s="1"/>
  <c r="G151" s="1"/>
  <c r="G83"/>
  <c r="G126" s="1"/>
  <c r="G169" s="1"/>
  <c r="G69"/>
  <c r="G112" s="1"/>
  <c r="G155" s="1"/>
  <c r="G101"/>
  <c r="G144" s="1"/>
  <c r="G187" s="1"/>
  <c r="G93"/>
  <c r="G136" s="1"/>
  <c r="G179" s="1"/>
  <c r="G102"/>
  <c r="G145" s="1"/>
  <c r="G188" s="1"/>
  <c r="G103"/>
  <c r="G146" s="1"/>
  <c r="G189" s="1"/>
  <c r="G79"/>
  <c r="G122" s="1"/>
  <c r="G165" s="1"/>
  <c r="G70"/>
  <c r="G113" s="1"/>
  <c r="G156" s="1"/>
  <c r="G82"/>
  <c r="G125" s="1"/>
  <c r="G168" s="1"/>
  <c r="G91"/>
  <c r="G134" s="1"/>
  <c r="G177" s="1"/>
  <c r="G92"/>
  <c r="G135" s="1"/>
  <c r="G178" s="1"/>
  <c r="G88"/>
  <c r="G131" s="1"/>
  <c r="G174" s="1"/>
  <c r="G89"/>
  <c r="G132" s="1"/>
  <c r="G175" s="1"/>
  <c r="G63"/>
  <c r="G106" s="1"/>
  <c r="G149" s="1"/>
  <c r="G68"/>
  <c r="G111" s="1"/>
  <c r="G154" s="1"/>
  <c r="G72"/>
  <c r="G115" s="1"/>
  <c r="G158" s="1"/>
  <c r="G86"/>
  <c r="G129" s="1"/>
  <c r="G172" s="1"/>
  <c r="G87"/>
  <c r="G130" s="1"/>
  <c r="G173" s="1"/>
  <c r="G100"/>
  <c r="G143" s="1"/>
  <c r="G186" s="1"/>
  <c r="G76"/>
  <c r="G119" s="1"/>
  <c r="G162" s="1"/>
  <c r="G77"/>
  <c r="G120" s="1"/>
  <c r="G163" s="1"/>
  <c r="G90"/>
  <c r="G133" s="1"/>
  <c r="G176" s="1"/>
  <c r="G67"/>
  <c r="G110" s="1"/>
  <c r="G153" s="1"/>
  <c r="G66"/>
  <c r="G109" s="1"/>
  <c r="G152" s="1"/>
  <c r="G78"/>
  <c r="G121" s="1"/>
  <c r="G164" s="1"/>
  <c r="G98"/>
  <c r="G141" s="1"/>
  <c r="G184" s="1"/>
  <c r="G84"/>
  <c r="G127" s="1"/>
  <c r="G170" s="1"/>
  <c r="G85"/>
  <c r="G128" s="1"/>
  <c r="G171" s="1"/>
  <c r="G99"/>
  <c r="G142" s="1"/>
  <c r="G185" s="1"/>
  <c r="G64"/>
  <c r="G107" s="1"/>
  <c r="G150" s="1"/>
  <c r="G75"/>
  <c r="G118" s="1"/>
  <c r="G161" s="1"/>
  <c r="G95"/>
  <c r="G138" s="1"/>
  <c r="G181" s="1"/>
  <c r="G80"/>
  <c r="G123" s="1"/>
  <c r="G166" s="1"/>
  <c r="G74"/>
  <c r="G117" s="1"/>
  <c r="G160" s="1"/>
  <c r="G73"/>
  <c r="G116" s="1"/>
  <c r="G159" s="1"/>
  <c r="G94"/>
  <c r="G137" s="1"/>
  <c r="G180" s="1"/>
  <c r="G96"/>
  <c r="G139" s="1"/>
  <c r="G182" s="1"/>
  <c r="G97"/>
  <c r="G140" s="1"/>
  <c r="G183" s="1"/>
  <c r="G81"/>
  <c r="G124" s="1"/>
  <c r="G167" s="1"/>
  <c r="E39" i="4"/>
  <c r="E73" s="1"/>
  <c r="E62"/>
  <c r="E80" i="31"/>
  <c r="E98" s="1"/>
  <c r="E116" s="1"/>
  <c r="F44" s="1"/>
  <c r="E722" i="32"/>
  <c r="E692"/>
  <c r="E859" s="1"/>
  <c r="E877" i="9"/>
  <c r="E1063" s="1"/>
  <c r="E851"/>
  <c r="E1037" s="1"/>
  <c r="E1223" s="1"/>
  <c r="F293" s="1"/>
  <c r="F37" i="35"/>
  <c r="E892" i="9"/>
  <c r="E1078" s="1"/>
  <c r="E1264" s="1"/>
  <c r="F334" s="1"/>
  <c r="E868"/>
  <c r="E724" i="32"/>
  <c r="E891" s="1"/>
  <c r="E943" i="9"/>
  <c r="E1129" s="1"/>
  <c r="E1315" s="1"/>
  <c r="F385" s="1"/>
  <c r="F81" i="42"/>
  <c r="E110" i="3"/>
  <c r="E134" s="1"/>
  <c r="E909" i="9"/>
  <c r="H188"/>
  <c r="E756" i="32"/>
  <c r="E923"/>
  <c r="I30" i="23"/>
  <c r="H6" i="38"/>
  <c r="H35" i="23"/>
  <c r="E810" i="32"/>
  <c r="E977" s="1"/>
  <c r="E1144" s="1"/>
  <c r="F309" s="1"/>
  <c r="E787"/>
  <c r="E954" s="1"/>
  <c r="E895" i="9"/>
  <c r="E1081" s="1"/>
  <c r="E1267" s="1"/>
  <c r="F337" s="1"/>
  <c r="E723" i="32"/>
  <c r="E890"/>
  <c r="E827" i="9"/>
  <c r="E1013" s="1"/>
  <c r="E1199" s="1"/>
  <c r="F269" s="1"/>
  <c r="E772" i="32"/>
  <c r="E939" s="1"/>
  <c r="E773"/>
  <c r="E940" s="1"/>
  <c r="E809" i="9"/>
  <c r="E864"/>
  <c r="E1050" s="1"/>
  <c r="E1236" s="1"/>
  <c r="F306" s="1"/>
  <c r="H979" i="34"/>
  <c r="H1146" s="1"/>
  <c r="E938" i="9"/>
  <c r="E1124" s="1"/>
  <c r="E1310" s="1"/>
  <c r="F380" s="1"/>
  <c r="H1073" i="27"/>
  <c r="H1259"/>
  <c r="H33" i="42"/>
  <c r="H34"/>
  <c r="I29" s="1"/>
  <c r="E922" i="9"/>
  <c r="E1108" s="1"/>
  <c r="E1294" s="1"/>
  <c r="F364" s="1"/>
  <c r="H969" i="34"/>
  <c r="D107" i="31"/>
  <c r="D13" s="1"/>
  <c r="E915" i="9"/>
  <c r="E1101" s="1"/>
  <c r="E1287" s="1"/>
  <c r="F357" s="1"/>
  <c r="E77" i="31"/>
  <c r="F65" i="29"/>
  <c r="F9" s="1"/>
  <c r="F16" s="1"/>
  <c r="F118"/>
  <c r="F137" s="1"/>
  <c r="F13" s="1"/>
  <c r="E761" i="32"/>
  <c r="E928" s="1"/>
  <c r="E1137" i="27"/>
  <c r="E709" i="32"/>
  <c r="E876" s="1"/>
  <c r="H28"/>
  <c r="E784" i="9"/>
  <c r="E970" s="1"/>
  <c r="H1129" i="34"/>
  <c r="E86" i="31"/>
  <c r="E104" s="1"/>
  <c r="E122" s="1"/>
  <c r="F50" s="1"/>
  <c r="H916" i="34"/>
  <c r="H1083" s="1"/>
  <c r="E853" i="9"/>
  <c r="E1039" s="1"/>
  <c r="H71" i="39"/>
  <c r="H114" s="1"/>
  <c r="H157" s="1"/>
  <c r="H102"/>
  <c r="H145" s="1"/>
  <c r="H188" s="1"/>
  <c r="H100"/>
  <c r="H143" s="1"/>
  <c r="H186" s="1"/>
  <c r="H95"/>
  <c r="H138" s="1"/>
  <c r="H181" s="1"/>
  <c r="H76"/>
  <c r="H119" s="1"/>
  <c r="H162" s="1"/>
  <c r="H85"/>
  <c r="H128" s="1"/>
  <c r="H171" s="1"/>
  <c r="H101"/>
  <c r="H144" s="1"/>
  <c r="H187" s="1"/>
  <c r="H92"/>
  <c r="H135" s="1"/>
  <c r="H178" s="1"/>
  <c r="H63"/>
  <c r="H106" s="1"/>
  <c r="H149" s="1"/>
  <c r="H80"/>
  <c r="H123" s="1"/>
  <c r="H166" s="1"/>
  <c r="H70"/>
  <c r="H113" s="1"/>
  <c r="H156" s="1"/>
  <c r="H103"/>
  <c r="H146" s="1"/>
  <c r="H189" s="1"/>
  <c r="H87"/>
  <c r="H130" s="1"/>
  <c r="H173" s="1"/>
  <c r="H66"/>
  <c r="H109" s="1"/>
  <c r="H152" s="1"/>
  <c r="H90"/>
  <c r="H133" s="1"/>
  <c r="H176" s="1"/>
  <c r="H65"/>
  <c r="H108" s="1"/>
  <c r="H151" s="1"/>
  <c r="H69"/>
  <c r="H112" s="1"/>
  <c r="H155" s="1"/>
  <c r="H73"/>
  <c r="H116" s="1"/>
  <c r="H159" s="1"/>
  <c r="H97"/>
  <c r="H140" s="1"/>
  <c r="H183" s="1"/>
  <c r="H96"/>
  <c r="H139" s="1"/>
  <c r="H182" s="1"/>
  <c r="H94"/>
  <c r="H137" s="1"/>
  <c r="H180" s="1"/>
  <c r="H98"/>
  <c r="H141" s="1"/>
  <c r="H184" s="1"/>
  <c r="H83"/>
  <c r="H126" s="1"/>
  <c r="H169" s="1"/>
  <c r="H75"/>
  <c r="H118" s="1"/>
  <c r="H161" s="1"/>
  <c r="H79"/>
  <c r="H122" s="1"/>
  <c r="H165" s="1"/>
  <c r="H88"/>
  <c r="H131" s="1"/>
  <c r="H174" s="1"/>
  <c r="H81"/>
  <c r="H124" s="1"/>
  <c r="H167" s="1"/>
  <c r="H68"/>
  <c r="H111" s="1"/>
  <c r="H154" s="1"/>
  <c r="H72"/>
  <c r="H115" s="1"/>
  <c r="H158" s="1"/>
  <c r="H89"/>
  <c r="H132" s="1"/>
  <c r="H175" s="1"/>
  <c r="H91"/>
  <c r="H134" s="1"/>
  <c r="H177" s="1"/>
  <c r="H77"/>
  <c r="H120" s="1"/>
  <c r="H163" s="1"/>
  <c r="H93"/>
  <c r="H136" s="1"/>
  <c r="H179" s="1"/>
  <c r="H64"/>
  <c r="H107" s="1"/>
  <c r="H150" s="1"/>
  <c r="H78"/>
  <c r="H121" s="1"/>
  <c r="H164" s="1"/>
  <c r="H74"/>
  <c r="H117" s="1"/>
  <c r="H160" s="1"/>
  <c r="H84"/>
  <c r="H127" s="1"/>
  <c r="H170" s="1"/>
  <c r="H82"/>
  <c r="H125" s="1"/>
  <c r="H168" s="1"/>
  <c r="H86"/>
  <c r="H129" s="1"/>
  <c r="H172" s="1"/>
  <c r="H67"/>
  <c r="H110" s="1"/>
  <c r="H153" s="1"/>
  <c r="H99"/>
  <c r="H142" s="1"/>
  <c r="H185" s="1"/>
  <c r="H116" i="29"/>
  <c r="H140"/>
  <c r="H11" i="9"/>
  <c r="I103" i="41" s="1"/>
  <c r="I90"/>
  <c r="I91" s="1"/>
  <c r="E808" i="9"/>
  <c r="E994" s="1"/>
  <c r="H937" i="34"/>
  <c r="H1104" s="1"/>
  <c r="H17"/>
  <c r="H925"/>
  <c r="H1092"/>
  <c r="E1162" i="32" l="1"/>
  <c r="F327" s="1"/>
  <c r="E1124"/>
  <c r="F289" s="1"/>
  <c r="F1114" i="9"/>
  <c r="H38" i="23"/>
  <c r="H32" i="4" s="1"/>
  <c r="E1166" i="32"/>
  <c r="F331" s="1"/>
  <c r="E1108"/>
  <c r="F273" s="1"/>
  <c r="E1146"/>
  <c r="F311" s="1"/>
  <c r="E115" i="31"/>
  <c r="F43" s="1"/>
  <c r="F79" s="1"/>
  <c r="E1203" i="9"/>
  <c r="F273" s="1"/>
  <c r="F831" s="1"/>
  <c r="E1167"/>
  <c r="F237" s="1"/>
  <c r="F795" s="1"/>
  <c r="F981" s="1"/>
  <c r="F1167" s="1"/>
  <c r="G237" s="1"/>
  <c r="E1206"/>
  <c r="F276" s="1"/>
  <c r="F834" s="1"/>
  <c r="E1180"/>
  <c r="F250" s="1"/>
  <c r="F808" s="1"/>
  <c r="F994" s="1"/>
  <c r="F1180" s="1"/>
  <c r="G250" s="1"/>
  <c r="E1091" i="32"/>
  <c r="F256" s="1"/>
  <c r="E1102"/>
  <c r="F267" s="1"/>
  <c r="F768" s="1"/>
  <c r="E1190" i="9"/>
  <c r="F260" s="1"/>
  <c r="F818" s="1"/>
  <c r="E1308"/>
  <c r="F378" s="1"/>
  <c r="D61" i="36"/>
  <c r="E1170" i="9"/>
  <c r="F240" s="1"/>
  <c r="F798" s="1"/>
  <c r="F984" s="1"/>
  <c r="F1170" s="1"/>
  <c r="G240" s="1"/>
  <c r="E1046"/>
  <c r="E1232" s="1"/>
  <c r="F302" s="1"/>
  <c r="F860" s="1"/>
  <c r="F1046" s="1"/>
  <c r="F1232" s="1"/>
  <c r="G302" s="1"/>
  <c r="E1292"/>
  <c r="F362" s="1"/>
  <c r="F920" s="1"/>
  <c r="E874" i="32"/>
  <c r="E1041" s="1"/>
  <c r="F206" s="1"/>
  <c r="F707" s="1"/>
  <c r="F874" s="1"/>
  <c r="F1041" s="1"/>
  <c r="G206" s="1"/>
  <c r="E961" i="9"/>
  <c r="E1147" s="1"/>
  <c r="F217" s="1"/>
  <c r="F775" s="1"/>
  <c r="F961" s="1"/>
  <c r="E994" i="32"/>
  <c r="E1161" s="1"/>
  <c r="F326" s="1"/>
  <c r="F827" s="1"/>
  <c r="E1301" i="9"/>
  <c r="F371" s="1"/>
  <c r="F929" s="1"/>
  <c r="F1115" s="1"/>
  <c r="E1158" i="32"/>
  <c r="F323" s="1"/>
  <c r="F824" s="1"/>
  <c r="F991" s="1"/>
  <c r="E1048"/>
  <c r="F213" s="1"/>
  <c r="F714" s="1"/>
  <c r="E1129"/>
  <c r="F294" s="1"/>
  <c r="F795" s="1"/>
  <c r="F962" s="1"/>
  <c r="E1271" i="9"/>
  <c r="F341" s="1"/>
  <c r="F899" s="1"/>
  <c r="F1085" s="1"/>
  <c r="F1271" s="1"/>
  <c r="G341" s="1"/>
  <c r="E151" i="3"/>
  <c r="F55" s="1"/>
  <c r="E1079" i="32"/>
  <c r="F244" s="1"/>
  <c r="F745" s="1"/>
  <c r="E1254" i="9"/>
  <c r="F324" s="1"/>
  <c r="E1143"/>
  <c r="F213" s="1"/>
  <c r="F771" s="1"/>
  <c r="F957" s="1"/>
  <c r="E1260"/>
  <c r="F330" s="1"/>
  <c r="F888" s="1"/>
  <c r="E1185" i="32"/>
  <c r="F350" s="1"/>
  <c r="F851" s="1"/>
  <c r="E975" i="9"/>
  <c r="E1161" s="1"/>
  <c r="F231" s="1"/>
  <c r="E1225"/>
  <c r="F295" s="1"/>
  <c r="F853" s="1"/>
  <c r="F1039" s="1"/>
  <c r="F1225" s="1"/>
  <c r="G295" s="1"/>
  <c r="E995"/>
  <c r="E1181" s="1"/>
  <c r="F251" s="1"/>
  <c r="F809" s="1"/>
  <c r="E1057" i="32"/>
  <c r="F222" s="1"/>
  <c r="F723" s="1"/>
  <c r="E1035"/>
  <c r="F200" s="1"/>
  <c r="F701" s="1"/>
  <c r="F868" s="1"/>
  <c r="E1083"/>
  <c r="F248" s="1"/>
  <c r="E1060"/>
  <c r="F225" s="1"/>
  <c r="E1025"/>
  <c r="F190" s="1"/>
  <c r="F691" s="1"/>
  <c r="E1094"/>
  <c r="F259" s="1"/>
  <c r="F760" s="1"/>
  <c r="E1279" i="9"/>
  <c r="F349" s="1"/>
  <c r="F907" s="1"/>
  <c r="E117" i="31"/>
  <c r="F45" s="1"/>
  <c r="E1289" i="9"/>
  <c r="F359" s="1"/>
  <c r="F917" s="1"/>
  <c r="F1103" s="1"/>
  <c r="F1289" s="1"/>
  <c r="G359" s="1"/>
  <c r="E1149"/>
  <c r="F219" s="1"/>
  <c r="F777" s="1"/>
  <c r="E1043"/>
  <c r="E1229" s="1"/>
  <c r="F299" s="1"/>
  <c r="E1107"/>
  <c r="E1293" s="1"/>
  <c r="F363" s="1"/>
  <c r="F921" s="1"/>
  <c r="E1051" i="32"/>
  <c r="F216" s="1"/>
  <c r="F717" s="1"/>
  <c r="F884" s="1"/>
  <c r="F1051" s="1"/>
  <c r="G216" s="1"/>
  <c r="E1188" i="9"/>
  <c r="F258" s="1"/>
  <c r="F816" s="1"/>
  <c r="F1002" s="1"/>
  <c r="F1188" s="1"/>
  <c r="G258" s="1"/>
  <c r="E1253"/>
  <c r="F323" s="1"/>
  <c r="F881" s="1"/>
  <c r="E1052" i="32"/>
  <c r="F217" s="1"/>
  <c r="E1078"/>
  <c r="F243" s="1"/>
  <c r="F744" s="1"/>
  <c r="F911" s="1"/>
  <c r="F1078" s="1"/>
  <c r="G243" s="1"/>
  <c r="E1295" i="9"/>
  <c r="F365" s="1"/>
  <c r="F923" s="1"/>
  <c r="F1109" s="1"/>
  <c r="F1295" s="1"/>
  <c r="G365" s="1"/>
  <c r="E1167" i="32"/>
  <c r="F332" s="1"/>
  <c r="F833" s="1"/>
  <c r="E1248" i="9"/>
  <c r="F318" s="1"/>
  <c r="E1107" i="32"/>
  <c r="F272" s="1"/>
  <c r="E1090"/>
  <c r="F255" s="1"/>
  <c r="F756" s="1"/>
  <c r="E1209" i="9"/>
  <c r="F279" s="1"/>
  <c r="F837" s="1"/>
  <c r="F1023" s="1"/>
  <c r="F1209" s="1"/>
  <c r="G279" s="1"/>
  <c r="E1037" i="32"/>
  <c r="F202" s="1"/>
  <c r="E1081"/>
  <c r="F246" s="1"/>
  <c r="F747" s="1"/>
  <c r="F914" s="1"/>
  <c r="F1081" s="1"/>
  <c r="G246" s="1"/>
  <c r="D18"/>
  <c r="E1031"/>
  <c r="F196" s="1"/>
  <c r="F697" s="1"/>
  <c r="E150" i="3"/>
  <c r="F54" s="1"/>
  <c r="E1022" i="9"/>
  <c r="E1208" s="1"/>
  <c r="F278" s="1"/>
  <c r="E1119" i="32"/>
  <c r="F284" s="1"/>
  <c r="F785" s="1"/>
  <c r="F952" s="1"/>
  <c r="F1119" s="1"/>
  <c r="G284" s="1"/>
  <c r="E1065"/>
  <c r="F230" s="1"/>
  <c r="E1151"/>
  <c r="F316" s="1"/>
  <c r="F817" s="1"/>
  <c r="G22" i="44"/>
  <c r="G23" s="1"/>
  <c r="H18" s="1"/>
  <c r="E1250" i="9"/>
  <c r="F320" s="1"/>
  <c r="F878" s="1"/>
  <c r="F1064" s="1"/>
  <c r="F1250" s="1"/>
  <c r="G320" s="1"/>
  <c r="E1213"/>
  <c r="F283" s="1"/>
  <c r="E1047"/>
  <c r="E1233" s="1"/>
  <c r="F303" s="1"/>
  <c r="E1122" i="32"/>
  <c r="F287" s="1"/>
  <c r="F788" s="1"/>
  <c r="F955" s="1"/>
  <c r="F1122" s="1"/>
  <c r="G287" s="1"/>
  <c r="E1043"/>
  <c r="F208" s="1"/>
  <c r="F709" s="1"/>
  <c r="F876" s="1"/>
  <c r="E1311" i="9"/>
  <c r="F381" s="1"/>
  <c r="F939" s="1"/>
  <c r="E1135" i="32"/>
  <c r="F300" s="1"/>
  <c r="F801" s="1"/>
  <c r="E1121"/>
  <c r="F286" s="1"/>
  <c r="F787" s="1"/>
  <c r="F954" s="1"/>
  <c r="F1121" s="1"/>
  <c r="G286" s="1"/>
  <c r="E1175"/>
  <c r="F340" s="1"/>
  <c r="F841" s="1"/>
  <c r="G27" i="41"/>
  <c r="E1299" i="9"/>
  <c r="F369" s="1"/>
  <c r="F927" s="1"/>
  <c r="E1073" i="32"/>
  <c r="F238" s="1"/>
  <c r="F739" s="1"/>
  <c r="F906" s="1"/>
  <c r="F1073" s="1"/>
  <c r="G238" s="1"/>
  <c r="E1139" i="9"/>
  <c r="F209" s="1"/>
  <c r="F767" s="1"/>
  <c r="E1197"/>
  <c r="F267" s="1"/>
  <c r="F825" s="1"/>
  <c r="E1303"/>
  <c r="F373" s="1"/>
  <c r="F931" s="1"/>
  <c r="F1117" s="1"/>
  <c r="E1143" i="32"/>
  <c r="F308" s="1"/>
  <c r="E1202" i="9"/>
  <c r="F272" s="1"/>
  <c r="E1192"/>
  <c r="F262" s="1"/>
  <c r="F820" s="1"/>
  <c r="F1006" s="1"/>
  <c r="F1192" s="1"/>
  <c r="G262" s="1"/>
  <c r="E158" i="3"/>
  <c r="F62" s="1"/>
  <c r="E153"/>
  <c r="F57" s="1"/>
  <c r="F105" s="1"/>
  <c r="F129" s="1"/>
  <c r="F153" s="1"/>
  <c r="G57" s="1"/>
  <c r="E1113" i="32"/>
  <c r="F278" s="1"/>
  <c r="F779" s="1"/>
  <c r="E1215" i="9"/>
  <c r="F285" s="1"/>
  <c r="F843" s="1"/>
  <c r="E1067" i="32"/>
  <c r="F232" s="1"/>
  <c r="F733" s="1"/>
  <c r="E1079" i="9"/>
  <c r="E1265" s="1"/>
  <c r="F335" s="1"/>
  <c r="E1063" i="32"/>
  <c r="F228" s="1"/>
  <c r="E1182" i="9"/>
  <c r="F252" s="1"/>
  <c r="F810" s="1"/>
  <c r="F996" s="1"/>
  <c r="F1182" s="1"/>
  <c r="G252" s="1"/>
  <c r="E1055" i="32"/>
  <c r="F220" s="1"/>
  <c r="F721" s="1"/>
  <c r="F888" s="1"/>
  <c r="F1055" s="1"/>
  <c r="G220" s="1"/>
  <c r="E1095"/>
  <c r="F260" s="1"/>
  <c r="F761" s="1"/>
  <c r="E1106"/>
  <c r="F271" s="1"/>
  <c r="F772" s="1"/>
  <c r="E112" i="31"/>
  <c r="F40" s="1"/>
  <c r="E1038" i="32"/>
  <c r="F203" s="1"/>
  <c r="F704" s="1"/>
  <c r="F871" s="1"/>
  <c r="F1038" s="1"/>
  <c r="G203" s="1"/>
  <c r="E882"/>
  <c r="E1049" s="1"/>
  <c r="F214" s="1"/>
  <c r="F715" s="1"/>
  <c r="E1039"/>
  <c r="F204" s="1"/>
  <c r="D18" i="31"/>
  <c r="E1070" i="9"/>
  <c r="E1256" s="1"/>
  <c r="F326" s="1"/>
  <c r="F884" s="1"/>
  <c r="E1272"/>
  <c r="F342" s="1"/>
  <c r="F900" s="1"/>
  <c r="F1086" s="1"/>
  <c r="F1272" s="1"/>
  <c r="G342" s="1"/>
  <c r="E1297"/>
  <c r="F367" s="1"/>
  <c r="F925" s="1"/>
  <c r="F1111" s="1"/>
  <c r="F1297" s="1"/>
  <c r="G367" s="1"/>
  <c r="F1300"/>
  <c r="G370" s="1"/>
  <c r="G928" s="1"/>
  <c r="E1269"/>
  <c r="F339" s="1"/>
  <c r="E1177" i="32"/>
  <c r="F342" s="1"/>
  <c r="F843" s="1"/>
  <c r="F1010" s="1"/>
  <c r="E1077" i="9"/>
  <c r="E1263" s="1"/>
  <c r="F333" s="1"/>
  <c r="F891" s="1"/>
  <c r="E943" i="32"/>
  <c r="E1110" s="1"/>
  <c r="F275" s="1"/>
  <c r="F776" s="1"/>
  <c r="E1137"/>
  <c r="F302" s="1"/>
  <c r="F803" s="1"/>
  <c r="F970" s="1"/>
  <c r="F1137" s="1"/>
  <c r="G302" s="1"/>
  <c r="F766" i="9"/>
  <c r="F911"/>
  <c r="F85" i="31"/>
  <c r="F751" i="32"/>
  <c r="F918" s="1"/>
  <c r="F1085" s="1"/>
  <c r="G250" s="1"/>
  <c r="G940" i="9"/>
  <c r="G1126" s="1"/>
  <c r="G1312" s="1"/>
  <c r="H382" s="1"/>
  <c r="F915"/>
  <c r="F1101" s="1"/>
  <c r="F786"/>
  <c r="F972" s="1"/>
  <c r="F1158" s="1"/>
  <c r="G228" s="1"/>
  <c r="F738" i="32"/>
  <c r="F905" s="1"/>
  <c r="F780"/>
  <c r="F947" s="1"/>
  <c r="F1114" s="1"/>
  <c r="G279" s="1"/>
  <c r="F774" i="9"/>
  <c r="F960" s="1"/>
  <c r="F1146" s="1"/>
  <c r="G216" s="1"/>
  <c r="F852" i="32"/>
  <c r="F1019"/>
  <c r="F749"/>
  <c r="F916" s="1"/>
  <c r="F1083" s="1"/>
  <c r="G248" s="1"/>
  <c r="F726"/>
  <c r="F902" i="9"/>
  <c r="F1088" s="1"/>
  <c r="F107" i="3"/>
  <c r="F695" i="32"/>
  <c r="F862" s="1"/>
  <c r="F1029" s="1"/>
  <c r="G194" s="1"/>
  <c r="F819" i="9"/>
  <c r="F791" i="32"/>
  <c r="F958"/>
  <c r="F1125" s="1"/>
  <c r="G290" s="1"/>
  <c r="F904" i="9"/>
  <c r="F1090" s="1"/>
  <c r="F1276" s="1"/>
  <c r="G346" s="1"/>
  <c r="F903"/>
  <c r="F1089" s="1"/>
  <c r="F789" i="32"/>
  <c r="F956" s="1"/>
  <c r="F1123" s="1"/>
  <c r="G288" s="1"/>
  <c r="G926" i="9"/>
  <c r="G1112" s="1"/>
  <c r="G1298" s="1"/>
  <c r="H368" s="1"/>
  <c r="F776"/>
  <c r="F962"/>
  <c r="F895"/>
  <c r="F713" i="32"/>
  <c r="F880" s="1"/>
  <c r="F945" i="9"/>
  <c r="F1131" s="1"/>
  <c r="F1317" s="1"/>
  <c r="G387" s="1"/>
  <c r="F867"/>
  <c r="F1053" s="1"/>
  <c r="F1239" s="1"/>
  <c r="G309" s="1"/>
  <c r="F855"/>
  <c r="F716" i="32"/>
  <c r="F883" s="1"/>
  <c r="F1050" s="1"/>
  <c r="G215" s="1"/>
  <c r="F886" i="9"/>
  <c r="F1072" s="1"/>
  <c r="F1258" s="1"/>
  <c r="G328" s="1"/>
  <c r="F799"/>
  <c r="F985" s="1"/>
  <c r="F1171" s="1"/>
  <c r="G241" s="1"/>
  <c r="F839" i="32"/>
  <c r="F1006" s="1"/>
  <c r="F1173" s="1"/>
  <c r="G338" s="1"/>
  <c r="F806"/>
  <c r="F933" i="9"/>
  <c r="F1119" s="1"/>
  <c r="F1305" s="1"/>
  <c r="G375" s="1"/>
  <c r="F805" i="32"/>
  <c r="F972" s="1"/>
  <c r="F778"/>
  <c r="F945" s="1"/>
  <c r="F1112" s="1"/>
  <c r="G277" s="1"/>
  <c r="F798"/>
  <c r="F965" s="1"/>
  <c r="F762"/>
  <c r="F859" i="9"/>
  <c r="F1045" s="1"/>
  <c r="F1231" s="1"/>
  <c r="G301" s="1"/>
  <c r="F782"/>
  <c r="F968" s="1"/>
  <c r="F1154" s="1"/>
  <c r="G224" s="1"/>
  <c r="F908"/>
  <c r="F1094" s="1"/>
  <c r="F93" i="3"/>
  <c r="F117" s="1"/>
  <c r="F141" s="1"/>
  <c r="G45" s="1"/>
  <c r="F770" i="32"/>
  <c r="F937" s="1"/>
  <c r="F1104" s="1"/>
  <c r="G269" s="1"/>
  <c r="F792" i="9"/>
  <c r="F978" s="1"/>
  <c r="F1164" s="1"/>
  <c r="G234" s="1"/>
  <c r="F876"/>
  <c r="F1062" s="1"/>
  <c r="F818" i="32"/>
  <c r="F985" s="1"/>
  <c r="F802" i="9"/>
  <c r="F988" s="1"/>
  <c r="F799" i="32"/>
  <c r="F103" i="3"/>
  <c r="F127" s="1"/>
  <c r="F151" s="1"/>
  <c r="G55" s="1"/>
  <c r="F786" i="32"/>
  <c r="F953" s="1"/>
  <c r="F83" i="31"/>
  <c r="F101" s="1"/>
  <c r="F773" i="32"/>
  <c r="H1121" i="34"/>
  <c r="F807" i="9"/>
  <c r="F993" s="1"/>
  <c r="F1179" s="1"/>
  <c r="G249" s="1"/>
  <c r="F98" i="3"/>
  <c r="F122" s="1"/>
  <c r="F146" s="1"/>
  <c r="G50" s="1"/>
  <c r="F748" i="32"/>
  <c r="F915" s="1"/>
  <c r="F1082" s="1"/>
  <c r="G247" s="1"/>
  <c r="F830" i="9"/>
  <c r="F1016" s="1"/>
  <c r="F1202" s="1"/>
  <c r="G272" s="1"/>
  <c r="F784" i="32"/>
  <c r="F951" s="1"/>
  <c r="F1118" s="1"/>
  <c r="G283" s="1"/>
  <c r="F906" i="9"/>
  <c r="F1092"/>
  <c r="F1278" s="1"/>
  <c r="G348" s="1"/>
  <c r="F846"/>
  <c r="F1032" s="1"/>
  <c r="F1218" s="1"/>
  <c r="G288" s="1"/>
  <c r="F807" i="32"/>
  <c r="F974" s="1"/>
  <c r="F1141" s="1"/>
  <c r="G306" s="1"/>
  <c r="F705"/>
  <c r="F883" i="9"/>
  <c r="F1069" s="1"/>
  <c r="F782" i="32"/>
  <c r="F742"/>
  <c r="F840"/>
  <c r="F87" i="31"/>
  <c r="F105" s="1"/>
  <c r="F743" i="32"/>
  <c r="F910" s="1"/>
  <c r="G934" i="9"/>
  <c r="G1120" s="1"/>
  <c r="F790"/>
  <c r="F976" s="1"/>
  <c r="F1162" s="1"/>
  <c r="G232" s="1"/>
  <c r="F804"/>
  <c r="F990" s="1"/>
  <c r="F1176" s="1"/>
  <c r="G246" s="1"/>
  <c r="F783" i="32"/>
  <c r="F950" s="1"/>
  <c r="F823" i="9"/>
  <c r="F1009" s="1"/>
  <c r="F694" i="32"/>
  <c r="F861" s="1"/>
  <c r="F1028" s="1"/>
  <c r="G193" s="1"/>
  <c r="F856" i="9"/>
  <c r="F1042" s="1"/>
  <c r="F1228" s="1"/>
  <c r="G298" s="1"/>
  <c r="F813" i="32"/>
  <c r="F980" s="1"/>
  <c r="F1147" s="1"/>
  <c r="G312" s="1"/>
  <c r="F732"/>
  <c r="F899" s="1"/>
  <c r="F814" i="9"/>
  <c r="F1000" s="1"/>
  <c r="F1186" s="1"/>
  <c r="G256" s="1"/>
  <c r="F702" i="32"/>
  <c r="F869" s="1"/>
  <c r="F1036" s="1"/>
  <c r="G201" s="1"/>
  <c r="F866" i="9"/>
  <c r="F1052" s="1"/>
  <c r="F1238" s="1"/>
  <c r="G308" s="1"/>
  <c r="F800"/>
  <c r="F986" s="1"/>
  <c r="F1172" s="1"/>
  <c r="G242" s="1"/>
  <c r="F851"/>
  <c r="F1037" s="1"/>
  <c r="F719" i="32"/>
  <c r="F886" s="1"/>
  <c r="F1053" s="1"/>
  <c r="G218" s="1"/>
  <c r="F735"/>
  <c r="F902" s="1"/>
  <c r="F1069" s="1"/>
  <c r="G234" s="1"/>
  <c r="F816"/>
  <c r="F983" s="1"/>
  <c r="F1150" s="1"/>
  <c r="G315" s="1"/>
  <c r="F779" i="9"/>
  <c r="F96" i="3"/>
  <c r="F120" s="1"/>
  <c r="F144" s="1"/>
  <c r="G48" s="1"/>
  <c r="F845" i="32"/>
  <c r="F1012" s="1"/>
  <c r="F1179" s="1"/>
  <c r="G344" s="1"/>
  <c r="F752"/>
  <c r="F919" s="1"/>
  <c r="F879" i="9"/>
  <c r="F1065" s="1"/>
  <c r="F872"/>
  <c r="F1058" s="1"/>
  <c r="F806"/>
  <c r="F992" s="1"/>
  <c r="F1178" s="1"/>
  <c r="G248" s="1"/>
  <c r="F764" i="32"/>
  <c r="F828" i="9"/>
  <c r="F1014" s="1"/>
  <c r="F887"/>
  <c r="F1073" s="1"/>
  <c r="F809" i="32"/>
  <c r="F976" s="1"/>
  <c r="F844" i="9"/>
  <c r="F1030" s="1"/>
  <c r="F1216" s="1"/>
  <c r="G286" s="1"/>
  <c r="F850"/>
  <c r="F838"/>
  <c r="F1024" s="1"/>
  <c r="F1210" s="1"/>
  <c r="G280" s="1"/>
  <c r="F847" i="32"/>
  <c r="F1014" s="1"/>
  <c r="F1181" s="1"/>
  <c r="G346" s="1"/>
  <c r="F766"/>
  <c r="F933" s="1"/>
  <c r="F1100" s="1"/>
  <c r="G265" s="1"/>
  <c r="F864" i="9"/>
  <c r="F1050" s="1"/>
  <c r="F1236" s="1"/>
  <c r="G306" s="1"/>
  <c r="F810" i="32"/>
  <c r="F977" s="1"/>
  <c r="F80" i="31"/>
  <c r="F98" s="1"/>
  <c r="F116" s="1"/>
  <c r="G44" s="1"/>
  <c r="F822" i="9"/>
  <c r="F1008" s="1"/>
  <c r="F848"/>
  <c r="F803"/>
  <c r="F989" s="1"/>
  <c r="F1175" s="1"/>
  <c r="G245" s="1"/>
  <c r="F836" i="32"/>
  <c r="F1003" s="1"/>
  <c r="F1170" s="1"/>
  <c r="G335" s="1"/>
  <c r="F82" i="31"/>
  <c r="F100" s="1"/>
  <c r="F118" s="1"/>
  <c r="G46" s="1"/>
  <c r="F898" i="9"/>
  <c r="F1084" s="1"/>
  <c r="F1270" s="1"/>
  <c r="G340" s="1"/>
  <c r="F768"/>
  <c r="F954" s="1"/>
  <c r="F1140" s="1"/>
  <c r="G210" s="1"/>
  <c r="F101" i="3"/>
  <c r="F125" s="1"/>
  <c r="F149" s="1"/>
  <c r="G53" s="1"/>
  <c r="F698" i="32"/>
  <c r="F865" s="1"/>
  <c r="F1032" s="1"/>
  <c r="G197" s="1"/>
  <c r="F862" i="9"/>
  <c r="F1048" s="1"/>
  <c r="F1234" s="1"/>
  <c r="G304" s="1"/>
  <c r="F759" i="32"/>
  <c r="F926" s="1"/>
  <c r="F1093" s="1"/>
  <c r="G258" s="1"/>
  <c r="F772" i="9"/>
  <c r="F958" s="1"/>
  <c r="F1144" s="1"/>
  <c r="G214" s="1"/>
  <c r="F822" i="32"/>
  <c r="F989" s="1"/>
  <c r="F947" i="9"/>
  <c r="F1133" s="1"/>
  <c r="F1319" s="1"/>
  <c r="G389" s="1"/>
  <c r="F787"/>
  <c r="F973" s="1"/>
  <c r="F1159" s="1"/>
  <c r="G229" s="1"/>
  <c r="F924"/>
  <c r="F1110" s="1"/>
  <c r="F1296" s="1"/>
  <c r="G366" s="1"/>
  <c r="F905"/>
  <c r="F1091"/>
  <c r="F1277" s="1"/>
  <c r="G347" s="1"/>
  <c r="F746" i="32"/>
  <c r="F913" s="1"/>
  <c r="F880" i="9"/>
  <c r="F92" i="3"/>
  <c r="F116"/>
  <c r="F94"/>
  <c r="F118" s="1"/>
  <c r="F854" i="9"/>
  <c r="F1040" s="1"/>
  <c r="F1226" s="1"/>
  <c r="G296" s="1"/>
  <c r="F824"/>
  <c r="F1010" s="1"/>
  <c r="F821" i="32"/>
  <c r="F988" s="1"/>
  <c r="F1155" s="1"/>
  <c r="G320" s="1"/>
  <c r="F834"/>
  <c r="F1001" s="1"/>
  <c r="F1168" s="1"/>
  <c r="G333" s="1"/>
  <c r="F874" i="9"/>
  <c r="F1060" s="1"/>
  <c r="F1246" s="1"/>
  <c r="G316" s="1"/>
  <c r="F930"/>
  <c r="F1116" s="1"/>
  <c r="F1302" s="1"/>
  <c r="G372" s="1"/>
  <c r="F839"/>
  <c r="F1025" s="1"/>
  <c r="F1211" s="1"/>
  <c r="G281" s="1"/>
  <c r="F832"/>
  <c r="F1018" s="1"/>
  <c r="F1204" s="1"/>
  <c r="G274" s="1"/>
  <c r="F847"/>
  <c r="F778"/>
  <c r="F964" s="1"/>
  <c r="F1150" s="1"/>
  <c r="G220" s="1"/>
  <c r="F837" i="32"/>
  <c r="F1004" s="1"/>
  <c r="F1171" s="1"/>
  <c r="G336" s="1"/>
  <c r="F829"/>
  <c r="F996" s="1"/>
  <c r="F858" i="9"/>
  <c r="F1044" s="1"/>
  <c r="F1230" s="1"/>
  <c r="G300" s="1"/>
  <c r="F753" i="32"/>
  <c r="F937" i="9"/>
  <c r="F1123" s="1"/>
  <c r="F1309" s="1"/>
  <c r="G379" s="1"/>
  <c r="F882"/>
  <c r="F1068" s="1"/>
  <c r="F826"/>
  <c r="F1012" s="1"/>
  <c r="F1198" s="1"/>
  <c r="G268" s="1"/>
  <c r="F943"/>
  <c r="F938"/>
  <c r="F1124" s="1"/>
  <c r="F775" i="32"/>
  <c r="F942" s="1"/>
  <c r="F1109" s="1"/>
  <c r="G274" s="1"/>
  <c r="F918" i="9"/>
  <c r="F1104" s="1"/>
  <c r="G932"/>
  <c r="F102" i="3"/>
  <c r="F126" s="1"/>
  <c r="F150" s="1"/>
  <c r="G54" s="1"/>
  <c r="F946" i="9"/>
  <c r="F1132" s="1"/>
  <c r="F1318" s="1"/>
  <c r="G388" s="1"/>
  <c r="F901"/>
  <c r="F1087" s="1"/>
  <c r="F1273" s="1"/>
  <c r="G343" s="1"/>
  <c r="F728" i="32"/>
  <c r="F895" s="1"/>
  <c r="F1062" s="1"/>
  <c r="G227" s="1"/>
  <c r="F86" i="31"/>
  <c r="F104" s="1"/>
  <c r="F783" i="9"/>
  <c r="F791"/>
  <c r="F977" s="1"/>
  <c r="F1163" s="1"/>
  <c r="G233" s="1"/>
  <c r="F802" i="32"/>
  <c r="F969" s="1"/>
  <c r="F700"/>
  <c r="F788" i="9"/>
  <c r="F974" s="1"/>
  <c r="F1160" s="1"/>
  <c r="G230" s="1"/>
  <c r="F754" i="32"/>
  <c r="F921" s="1"/>
  <c r="F796"/>
  <c r="F963" s="1"/>
  <c r="F1130" s="1"/>
  <c r="G295" s="1"/>
  <c r="F106" i="3"/>
  <c r="F130" s="1"/>
  <c r="F154" s="1"/>
  <c r="G58" s="1"/>
  <c r="F84" i="31"/>
  <c r="F844" i="32"/>
  <c r="F1011" s="1"/>
  <c r="F1178" s="1"/>
  <c r="G343" s="1"/>
  <c r="F922" i="9"/>
  <c r="F1108" s="1"/>
  <c r="F1294" s="1"/>
  <c r="G364" s="1"/>
  <c r="F892"/>
  <c r="F1078" s="1"/>
  <c r="H1110" i="27"/>
  <c r="H1296" s="1"/>
  <c r="F100" i="3"/>
  <c r="F124"/>
  <c r="F827" i="9"/>
  <c r="F1013" s="1"/>
  <c r="F841"/>
  <c r="F1027" s="1"/>
  <c r="F815" i="32"/>
  <c r="F982" s="1"/>
  <c r="F1149" s="1"/>
  <c r="G314" s="1"/>
  <c r="F873" i="9"/>
  <c r="F1059" s="1"/>
  <c r="F1245" s="1"/>
  <c r="G315" s="1"/>
  <c r="F935"/>
  <c r="F1121" s="1"/>
  <c r="F1307" s="1"/>
  <c r="G377" s="1"/>
  <c r="F850" i="32"/>
  <c r="F1017" s="1"/>
  <c r="F1184" s="1"/>
  <c r="G349" s="1"/>
  <c r="F718"/>
  <c r="F941" i="9"/>
  <c r="F831" i="32"/>
  <c r="F998" s="1"/>
  <c r="F1165" s="1"/>
  <c r="G330" s="1"/>
  <c r="F736"/>
  <c r="F903" s="1"/>
  <c r="F97" i="3"/>
  <c r="F121" s="1"/>
  <c r="F894" i="9"/>
  <c r="F1080" s="1"/>
  <c r="F1266" s="1"/>
  <c r="G336" s="1"/>
  <c r="F896"/>
  <c r="F1082" s="1"/>
  <c r="F1268" s="1"/>
  <c r="G338" s="1"/>
  <c r="F797" i="32"/>
  <c r="F964" s="1"/>
  <c r="F811" i="9"/>
  <c r="F997" s="1"/>
  <c r="F1183" s="1"/>
  <c r="G253" s="1"/>
  <c r="F845"/>
  <c r="F1031" s="1"/>
  <c r="F1217" s="1"/>
  <c r="G287" s="1"/>
  <c r="E44" i="35"/>
  <c r="F43" s="1"/>
  <c r="E46"/>
  <c r="E53" i="44"/>
  <c r="F814" i="32"/>
  <c r="F981" s="1"/>
  <c r="H1148" i="27"/>
  <c r="F832" i="32"/>
  <c r="D17" i="3"/>
  <c r="E107" i="41"/>
  <c r="E1126" i="32"/>
  <c r="F291" s="1"/>
  <c r="E1193" i="9"/>
  <c r="F263" s="1"/>
  <c r="E1169" i="32"/>
  <c r="F334" s="1"/>
  <c r="E1159"/>
  <c r="F324" s="1"/>
  <c r="E1201" i="9"/>
  <c r="F271" s="1"/>
  <c r="E1033" i="32"/>
  <c r="F198" s="1"/>
  <c r="E1157" i="9"/>
  <c r="F227" s="1"/>
  <c r="E1027" i="32"/>
  <c r="F192" s="1"/>
  <c r="E1095" i="9"/>
  <c r="E1281" s="1"/>
  <c r="F351" s="1"/>
  <c r="E1019"/>
  <c r="E1205" s="1"/>
  <c r="F275" s="1"/>
  <c r="F774" i="32"/>
  <c r="F941" s="1"/>
  <c r="F1108" s="1"/>
  <c r="G273" s="1"/>
  <c r="E1165" i="9"/>
  <c r="F235" s="1"/>
  <c r="E1055"/>
  <c r="E1241" s="1"/>
  <c r="F311" s="1"/>
  <c r="E152" i="3"/>
  <c r="F56" s="1"/>
  <c r="F830" i="32"/>
  <c r="F997" s="1"/>
  <c r="F1164" s="1"/>
  <c r="G329" s="1"/>
  <c r="E1257" i="9"/>
  <c r="F327" s="1"/>
  <c r="H66" i="4"/>
  <c r="H860" i="34"/>
  <c r="H1027" s="1"/>
  <c r="E907" i="32"/>
  <c r="E1074" s="1"/>
  <c r="F239" s="1"/>
  <c r="F40" i="42"/>
  <c r="F71"/>
  <c r="F72" s="1"/>
  <c r="F812" i="32"/>
  <c r="F979" s="1"/>
  <c r="F1146" s="1"/>
  <c r="G311" s="1"/>
  <c r="H49" i="42"/>
  <c r="H81" s="1"/>
  <c r="H60"/>
  <c r="E1026" i="32"/>
  <c r="F191" s="1"/>
  <c r="F207" i="27"/>
  <c r="E1320"/>
  <c r="E14" s="1"/>
  <c r="E16" s="1"/>
  <c r="F142" i="29"/>
  <c r="E1054" i="9"/>
  <c r="E1240" s="1"/>
  <c r="F310" s="1"/>
  <c r="E889" i="32"/>
  <c r="E1056" s="1"/>
  <c r="F221" s="1"/>
  <c r="I7" i="38"/>
  <c r="I36" i="23"/>
  <c r="E1156" i="9"/>
  <c r="F226" s="1"/>
  <c r="E95" i="31"/>
  <c r="E113" s="1"/>
  <c r="F41" s="1"/>
  <c r="G84" i="41"/>
  <c r="G68"/>
  <c r="E1059" i="32"/>
  <c r="F224" s="1"/>
  <c r="E904"/>
  <c r="E1071" s="1"/>
  <c r="F236" s="1"/>
  <c r="I62" i="41"/>
  <c r="I68" i="35"/>
  <c r="I21" i="41"/>
  <c r="E1243" i="9"/>
  <c r="F313" s="1"/>
  <c r="D65" i="35"/>
  <c r="I8" i="38"/>
  <c r="I37" i="23"/>
  <c r="E1046" i="32"/>
  <c r="F211" s="1"/>
  <c r="E147" i="3"/>
  <c r="F51" s="1"/>
  <c r="E52" i="35"/>
  <c r="H28" i="4"/>
  <c r="H25" i="41"/>
  <c r="H66"/>
  <c r="H85" s="1"/>
  <c r="H25" i="20"/>
  <c r="E1142" i="32"/>
  <c r="F307" s="1"/>
  <c r="E936"/>
  <c r="E1103" s="1"/>
  <c r="F268" s="1"/>
  <c r="E1099"/>
  <c r="F264" s="1"/>
  <c r="E1286" i="9"/>
  <c r="F356" s="1"/>
  <c r="E1224"/>
  <c r="F294" s="1"/>
  <c r="E1242"/>
  <c r="F312" s="1"/>
  <c r="E114" i="31"/>
  <c r="F42" s="1"/>
  <c r="E1262" i="9"/>
  <c r="F332" s="1"/>
  <c r="E1282"/>
  <c r="F352" s="1"/>
  <c r="E1130"/>
  <c r="E1316" s="1"/>
  <c r="F386" s="1"/>
  <c r="E875" i="32"/>
  <c r="E1042" s="1"/>
  <c r="F207" s="1"/>
  <c r="E1075"/>
  <c r="F240" s="1"/>
  <c r="E1013"/>
  <c r="E1180" s="1"/>
  <c r="F345" s="1"/>
  <c r="E1212" i="9"/>
  <c r="F282" s="1"/>
  <c r="E986" i="32"/>
  <c r="E1153" s="1"/>
  <c r="F318" s="1"/>
  <c r="E1111"/>
  <c r="F276" s="1"/>
  <c r="E157" i="3"/>
  <c r="F61" s="1"/>
  <c r="E938" i="32"/>
  <c r="E1105" s="1"/>
  <c r="F270" s="1"/>
  <c r="E1134"/>
  <c r="F299" s="1"/>
  <c r="E1214" i="9"/>
  <c r="F284" s="1"/>
  <c r="E1145" i="32"/>
  <c r="F310" s="1"/>
  <c r="E1097"/>
  <c r="F262" s="1"/>
  <c r="E1187"/>
  <c r="F352" s="1"/>
  <c r="E901"/>
  <c r="E1068" s="1"/>
  <c r="F233" s="1"/>
  <c r="E1064"/>
  <c r="F229" s="1"/>
  <c r="E1207" i="9"/>
  <c r="F277" s="1"/>
  <c r="E982"/>
  <c r="E1168" s="1"/>
  <c r="F238" s="1"/>
  <c r="E132" i="3"/>
  <c r="E156" s="1"/>
  <c r="F60" s="1"/>
  <c r="E922" i="32"/>
  <c r="E1089" s="1"/>
  <c r="F254" s="1"/>
  <c r="E873"/>
  <c r="E1040" s="1"/>
  <c r="F205" s="1"/>
  <c r="E1184" i="9"/>
  <c r="F254" s="1"/>
  <c r="E1157" i="32"/>
  <c r="F322" s="1"/>
  <c r="E1235" i="9"/>
  <c r="F305" s="1"/>
  <c r="E1054" i="32"/>
  <c r="F219" s="1"/>
  <c r="G59" i="44"/>
  <c r="G62" s="1"/>
  <c r="G64" s="1"/>
  <c r="G37"/>
  <c r="G38" s="1"/>
  <c r="E960" i="32"/>
  <c r="E1127" s="1"/>
  <c r="F292" s="1"/>
  <c r="E966" i="9"/>
  <c r="E1152" s="1"/>
  <c r="F222" s="1"/>
  <c r="E1142"/>
  <c r="F212" s="1"/>
  <c r="F849"/>
  <c r="F1035" s="1"/>
  <c r="I28" i="4"/>
  <c r="I25" i="41"/>
  <c r="I25" i="20"/>
  <c r="I66" i="41"/>
  <c r="I85" s="1"/>
  <c r="F916" i="9"/>
  <c r="F1102" s="1"/>
  <c r="F1288" s="1"/>
  <c r="G358" s="1"/>
  <c r="F849" i="32"/>
  <c r="F1016"/>
  <c r="F1183" s="1"/>
  <c r="G348" s="1"/>
  <c r="H69" i="38"/>
  <c r="H112" s="1"/>
  <c r="H155" s="1"/>
  <c r="H93"/>
  <c r="H136" s="1"/>
  <c r="H179" s="1"/>
  <c r="H102"/>
  <c r="H145" s="1"/>
  <c r="H188" s="1"/>
  <c r="H73"/>
  <c r="H116" s="1"/>
  <c r="H159" s="1"/>
  <c r="H103"/>
  <c r="H146" s="1"/>
  <c r="H189" s="1"/>
  <c r="H65"/>
  <c r="H108" s="1"/>
  <c r="H151" s="1"/>
  <c r="H71"/>
  <c r="H114" s="1"/>
  <c r="H157" s="1"/>
  <c r="H83"/>
  <c r="H126" s="1"/>
  <c r="H169" s="1"/>
  <c r="H75"/>
  <c r="H118" s="1"/>
  <c r="H161" s="1"/>
  <c r="H67"/>
  <c r="H110" s="1"/>
  <c r="H153" s="1"/>
  <c r="H100"/>
  <c r="H143" s="1"/>
  <c r="H186" s="1"/>
  <c r="H99"/>
  <c r="H142" s="1"/>
  <c r="H185" s="1"/>
  <c r="H87"/>
  <c r="H130" s="1"/>
  <c r="H173" s="1"/>
  <c r="H70"/>
  <c r="H113" s="1"/>
  <c r="H156" s="1"/>
  <c r="H63"/>
  <c r="H106" s="1"/>
  <c r="H149" s="1"/>
  <c r="H95"/>
  <c r="H138" s="1"/>
  <c r="H181" s="1"/>
  <c r="H64"/>
  <c r="H107" s="1"/>
  <c r="H150" s="1"/>
  <c r="H72"/>
  <c r="H115" s="1"/>
  <c r="H158" s="1"/>
  <c r="H82"/>
  <c r="H125" s="1"/>
  <c r="H168" s="1"/>
  <c r="H88"/>
  <c r="H131" s="1"/>
  <c r="H174" s="1"/>
  <c r="H85"/>
  <c r="H128" s="1"/>
  <c r="H171" s="1"/>
  <c r="H92"/>
  <c r="H135" s="1"/>
  <c r="H178" s="1"/>
  <c r="H91"/>
  <c r="H134" s="1"/>
  <c r="H177" s="1"/>
  <c r="H79"/>
  <c r="H122" s="1"/>
  <c r="H165" s="1"/>
  <c r="H98"/>
  <c r="H141" s="1"/>
  <c r="H184" s="1"/>
  <c r="H97"/>
  <c r="H140" s="1"/>
  <c r="H183" s="1"/>
  <c r="H68"/>
  <c r="H111" s="1"/>
  <c r="H154" s="1"/>
  <c r="H96"/>
  <c r="H139" s="1"/>
  <c r="H182" s="1"/>
  <c r="H76"/>
  <c r="H119" s="1"/>
  <c r="H162" s="1"/>
  <c r="H90"/>
  <c r="H133" s="1"/>
  <c r="H176" s="1"/>
  <c r="H66"/>
  <c r="H109" s="1"/>
  <c r="H152" s="1"/>
  <c r="H94"/>
  <c r="H137" s="1"/>
  <c r="H180" s="1"/>
  <c r="H78"/>
  <c r="H121" s="1"/>
  <c r="H164" s="1"/>
  <c r="H84"/>
  <c r="H127" s="1"/>
  <c r="H170" s="1"/>
  <c r="H89"/>
  <c r="H132" s="1"/>
  <c r="H175" s="1"/>
  <c r="H81"/>
  <c r="H124" s="1"/>
  <c r="H167" s="1"/>
  <c r="H74"/>
  <c r="H117" s="1"/>
  <c r="H160" s="1"/>
  <c r="H86"/>
  <c r="H129" s="1"/>
  <c r="H172" s="1"/>
  <c r="H80"/>
  <c r="H123" s="1"/>
  <c r="H166" s="1"/>
  <c r="H101"/>
  <c r="H144" s="1"/>
  <c r="H187" s="1"/>
  <c r="H77"/>
  <c r="H120" s="1"/>
  <c r="H163" s="1"/>
  <c r="F936" i="9"/>
  <c r="F1122" s="1"/>
  <c r="F1308" s="1"/>
  <c r="G378" s="1"/>
  <c r="F750" i="32"/>
  <c r="H1076" i="27"/>
  <c r="H1262" s="1"/>
  <c r="F70" i="35"/>
  <c r="F820" i="32"/>
  <c r="F987" s="1"/>
  <c r="F1154" s="1"/>
  <c r="G319" s="1"/>
  <c r="H1253" i="27"/>
  <c r="F828" i="32"/>
  <c r="F995" s="1"/>
  <c r="F49" i="44"/>
  <c r="F40"/>
  <c r="F41" s="1"/>
  <c r="F44" s="1"/>
  <c r="H1117" i="27"/>
  <c r="H1303" s="1"/>
  <c r="E1185" i="9"/>
  <c r="F255" s="1"/>
  <c r="G25" i="42"/>
  <c r="G21"/>
  <c r="G41" s="1"/>
  <c r="G73" s="1"/>
  <c r="I67" i="23"/>
  <c r="I66" i="4" s="1"/>
  <c r="E53" i="31"/>
  <c r="E9" s="1"/>
  <c r="E16" s="1"/>
  <c r="E74"/>
  <c r="E89" s="1"/>
  <c r="E12" s="1"/>
  <c r="E983" i="9"/>
  <c r="E1169" s="1"/>
  <c r="F239" s="1"/>
  <c r="E1051"/>
  <c r="E1237" s="1"/>
  <c r="F307" s="1"/>
  <c r="E987"/>
  <c r="E1173" s="1"/>
  <c r="F243" s="1"/>
  <c r="E1145"/>
  <c r="F215" s="1"/>
  <c r="G59" i="43"/>
  <c r="G62" s="1"/>
  <c r="G64" s="1"/>
  <c r="G37"/>
  <c r="G38" s="1"/>
  <c r="E1099" i="9"/>
  <c r="E1285" s="1"/>
  <c r="F355" s="1"/>
  <c r="E119" i="3"/>
  <c r="E143" s="1"/>
  <c r="F47" s="1"/>
  <c r="E878" i="32"/>
  <c r="E1045" s="1"/>
  <c r="F210" s="1"/>
  <c r="E1176"/>
  <c r="F341" s="1"/>
  <c r="E971"/>
  <c r="E1138" s="1"/>
  <c r="F303" s="1"/>
  <c r="E1061" i="9"/>
  <c r="E1247" s="1"/>
  <c r="F317" s="1"/>
  <c r="E1092" i="32"/>
  <c r="F257" s="1"/>
  <c r="E1030"/>
  <c r="F195" s="1"/>
  <c r="H35" i="4"/>
  <c r="H20" i="20"/>
  <c r="F187" i="34"/>
  <c r="E1186"/>
  <c r="E14" s="1"/>
  <c r="E16" s="1"/>
  <c r="F826" i="32"/>
  <c r="F993" s="1"/>
  <c r="F1160" s="1"/>
  <c r="G325" s="1"/>
  <c r="F781"/>
  <c r="F912" i="9"/>
  <c r="E991"/>
  <c r="E1177" s="1"/>
  <c r="F247" s="1"/>
  <c r="H962" i="27"/>
  <c r="G39" i="4"/>
  <c r="G73" s="1"/>
  <c r="G62"/>
  <c r="H954" i="27"/>
  <c r="H1140" s="1"/>
  <c r="E84" i="42"/>
  <c r="F710" i="32"/>
  <c r="E1141" i="9"/>
  <c r="F211" s="1"/>
  <c r="I33" i="42"/>
  <c r="H1142" i="27"/>
  <c r="E353" i="32"/>
  <c r="E9" s="1"/>
  <c r="E16" s="1"/>
  <c r="E690"/>
  <c r="E854" s="1"/>
  <c r="E12" s="1"/>
  <c r="E55" i="42"/>
  <c r="G22" i="43"/>
  <c r="G23" s="1"/>
  <c r="H18" s="1"/>
  <c r="F942" i="9"/>
  <c r="F1128" s="1"/>
  <c r="F1314" s="1"/>
  <c r="G384" s="1"/>
  <c r="E26" i="35"/>
  <c r="E1058" i="32"/>
  <c r="F223" s="1"/>
  <c r="H1124" i="27"/>
  <c r="H1310" s="1"/>
  <c r="F64" i="42"/>
  <c r="F66" s="1"/>
  <c r="H32" i="35"/>
  <c r="D36" i="36"/>
  <c r="I35" i="35"/>
  <c r="I21" i="20"/>
  <c r="I72" i="39"/>
  <c r="I115" s="1"/>
  <c r="I158" s="1"/>
  <c r="I73"/>
  <c r="I116" s="1"/>
  <c r="I159" s="1"/>
  <c r="I74"/>
  <c r="I117" s="1"/>
  <c r="I160" s="1"/>
  <c r="I75"/>
  <c r="I118" s="1"/>
  <c r="I161" s="1"/>
  <c r="I83"/>
  <c r="I126" s="1"/>
  <c r="I169" s="1"/>
  <c r="I79"/>
  <c r="I122" s="1"/>
  <c r="I165" s="1"/>
  <c r="I80"/>
  <c r="I123" s="1"/>
  <c r="I166" s="1"/>
  <c r="I91"/>
  <c r="I134" s="1"/>
  <c r="I177" s="1"/>
  <c r="I82"/>
  <c r="I125" s="1"/>
  <c r="I168" s="1"/>
  <c r="I102"/>
  <c r="I145" s="1"/>
  <c r="I188" s="1"/>
  <c r="I94"/>
  <c r="I137" s="1"/>
  <c r="I180" s="1"/>
  <c r="I67"/>
  <c r="I110" s="1"/>
  <c r="I153" s="1"/>
  <c r="I89"/>
  <c r="I132" s="1"/>
  <c r="I175" s="1"/>
  <c r="I90"/>
  <c r="I133" s="1"/>
  <c r="I176" s="1"/>
  <c r="I70"/>
  <c r="I113" s="1"/>
  <c r="I156" s="1"/>
  <c r="I97"/>
  <c r="I140" s="1"/>
  <c r="I183" s="1"/>
  <c r="I71"/>
  <c r="I114" s="1"/>
  <c r="I157" s="1"/>
  <c r="I92"/>
  <c r="I135" s="1"/>
  <c r="I178" s="1"/>
  <c r="I88"/>
  <c r="I131" s="1"/>
  <c r="I174" s="1"/>
  <c r="I65"/>
  <c r="I108" s="1"/>
  <c r="I151" s="1"/>
  <c r="I87"/>
  <c r="I130" s="1"/>
  <c r="I173" s="1"/>
  <c r="I93"/>
  <c r="I136" s="1"/>
  <c r="I179" s="1"/>
  <c r="I77"/>
  <c r="I120" s="1"/>
  <c r="I163" s="1"/>
  <c r="I84"/>
  <c r="I127" s="1"/>
  <c r="I170" s="1"/>
  <c r="I63"/>
  <c r="I106" s="1"/>
  <c r="I149" s="1"/>
  <c r="I95"/>
  <c r="I138" s="1"/>
  <c r="I181" s="1"/>
  <c r="I78"/>
  <c r="I121" s="1"/>
  <c r="I164" s="1"/>
  <c r="I69"/>
  <c r="I112" s="1"/>
  <c r="I155" s="1"/>
  <c r="I100"/>
  <c r="I143" s="1"/>
  <c r="I186" s="1"/>
  <c r="I76"/>
  <c r="I119" s="1"/>
  <c r="I162" s="1"/>
  <c r="I86"/>
  <c r="I129" s="1"/>
  <c r="I172" s="1"/>
  <c r="I96"/>
  <c r="I139" s="1"/>
  <c r="I182" s="1"/>
  <c r="I66"/>
  <c r="I109" s="1"/>
  <c r="I152" s="1"/>
  <c r="I99"/>
  <c r="I142" s="1"/>
  <c r="I185" s="1"/>
  <c r="I64"/>
  <c r="I107" s="1"/>
  <c r="I150" s="1"/>
  <c r="I101"/>
  <c r="I144" s="1"/>
  <c r="I187" s="1"/>
  <c r="I85"/>
  <c r="I128" s="1"/>
  <c r="I171" s="1"/>
  <c r="I98"/>
  <c r="I141" s="1"/>
  <c r="I184" s="1"/>
  <c r="I68"/>
  <c r="I111" s="1"/>
  <c r="I154" s="1"/>
  <c r="I103"/>
  <c r="I146" s="1"/>
  <c r="I189" s="1"/>
  <c r="I81"/>
  <c r="I124" s="1"/>
  <c r="I167" s="1"/>
  <c r="E1153" i="9"/>
  <c r="F223" s="1"/>
  <c r="D52" i="43"/>
  <c r="E75" i="4"/>
  <c r="G27" i="20"/>
  <c r="E1189" i="9"/>
  <c r="F259" s="1"/>
  <c r="F848" i="32"/>
  <c r="F1015" s="1"/>
  <c r="F1182" s="1"/>
  <c r="G347" s="1"/>
  <c r="F757"/>
  <c r="F790"/>
  <c r="F957" s="1"/>
  <c r="F1124" s="1"/>
  <c r="G289" s="1"/>
  <c r="F794"/>
  <c r="F961"/>
  <c r="F1128" s="1"/>
  <c r="G293" s="1"/>
  <c r="E1249" i="9"/>
  <c r="F319" s="1"/>
  <c r="E1261"/>
  <c r="F331" s="1"/>
  <c r="I47" i="44"/>
  <c r="D47" s="1"/>
  <c r="I58"/>
  <c r="E64" i="3"/>
  <c r="E9" s="1"/>
  <c r="E91"/>
  <c r="E112" s="1"/>
  <c r="E11" s="1"/>
  <c r="F75" i="31"/>
  <c r="F93" s="1"/>
  <c r="I6" i="38"/>
  <c r="I35" i="23"/>
  <c r="H954" i="34"/>
  <c r="F49" i="43"/>
  <c r="F40"/>
  <c r="F41" s="1"/>
  <c r="F44" s="1"/>
  <c r="D86" i="42"/>
  <c r="D18" i="9"/>
  <c r="G92" i="42"/>
  <c r="E64" i="41"/>
  <c r="E35" i="4"/>
  <c r="E41" s="1"/>
  <c r="E390" i="9"/>
  <c r="E9" s="1"/>
  <c r="E16" s="1"/>
  <c r="E765"/>
  <c r="E948" s="1"/>
  <c r="E12" s="1"/>
  <c r="E27" i="4"/>
  <c r="E105" i="41"/>
  <c r="H103"/>
  <c r="H19" i="9"/>
  <c r="D88" i="1" s="1"/>
  <c r="F96" i="42"/>
  <c r="F98" s="1"/>
  <c r="E79" i="35"/>
  <c r="E77"/>
  <c r="F76" s="1"/>
  <c r="F38" i="33"/>
  <c r="E125"/>
  <c r="E14" s="1"/>
  <c r="E18" s="1"/>
  <c r="H1318" i="27"/>
  <c r="E20" i="20"/>
  <c r="E23" s="1"/>
  <c r="E27" s="1"/>
  <c r="E23" i="41"/>
  <c r="E27" s="1"/>
  <c r="F838" i="32"/>
  <c r="F1005" s="1"/>
  <c r="F815" i="9"/>
  <c r="F727" i="32"/>
  <c r="F919" i="9"/>
  <c r="F767" i="32"/>
  <c r="F934" s="1"/>
  <c r="F1101" s="1"/>
  <c r="G266" s="1"/>
  <c r="F794" i="9"/>
  <c r="F729" i="32"/>
  <c r="F896" s="1"/>
  <c r="F940" l="1"/>
  <c r="F1107" s="1"/>
  <c r="G272" s="1"/>
  <c r="D75" i="23"/>
  <c r="F1186" i="32"/>
  <c r="G351" s="1"/>
  <c r="F1017" i="9"/>
  <c r="F1203" s="1"/>
  <c r="G273" s="1"/>
  <c r="E92" i="31"/>
  <c r="E107" s="1"/>
  <c r="E13" s="1"/>
  <c r="F110" i="3"/>
  <c r="F134" s="1"/>
  <c r="F1000" i="32"/>
  <c r="F1167" s="1"/>
  <c r="G332" s="1"/>
  <c r="F864"/>
  <c r="F1031" s="1"/>
  <c r="G196" s="1"/>
  <c r="G697" s="1"/>
  <c r="G864" s="1"/>
  <c r="F927"/>
  <c r="F1094" s="1"/>
  <c r="G259" s="1"/>
  <c r="G760" s="1"/>
  <c r="G927" s="1"/>
  <c r="G1094" s="1"/>
  <c r="H259" s="1"/>
  <c r="F731"/>
  <c r="F898" s="1"/>
  <c r="F1065" s="1"/>
  <c r="G230" s="1"/>
  <c r="F1221" i="9"/>
  <c r="G291" s="1"/>
  <c r="F897"/>
  <c r="F1083" s="1"/>
  <c r="F1269" s="1"/>
  <c r="G339" s="1"/>
  <c r="F858" i="32"/>
  <c r="F1025" s="1"/>
  <c r="G190" s="1"/>
  <c r="F1287" i="9"/>
  <c r="G357" s="1"/>
  <c r="G915" s="1"/>
  <c r="G1101" s="1"/>
  <c r="G1287" s="1"/>
  <c r="H357" s="1"/>
  <c r="F928" i="32"/>
  <c r="F1095" s="1"/>
  <c r="G260" s="1"/>
  <c r="G761" s="1"/>
  <c r="F1148" i="9"/>
  <c r="G218" s="1"/>
  <c r="E857" i="32"/>
  <c r="E1024" s="1"/>
  <c r="F1199" i="9"/>
  <c r="G269" s="1"/>
  <c r="F81" i="31"/>
  <c r="F99" s="1"/>
  <c r="F994" i="32"/>
  <c r="F1161" s="1"/>
  <c r="G326" s="1"/>
  <c r="F1113" i="9"/>
  <c r="F1299" s="1"/>
  <c r="G369" s="1"/>
  <c r="G927" s="1"/>
  <c r="G1113" s="1"/>
  <c r="G1299" s="1"/>
  <c r="H369" s="1"/>
  <c r="F872" i="32"/>
  <c r="F1039" s="1"/>
  <c r="G204" s="1"/>
  <c r="G705" s="1"/>
  <c r="F1301" i="9"/>
  <c r="G371" s="1"/>
  <c r="E951"/>
  <c r="E1137" s="1"/>
  <c r="F207" s="1"/>
  <c r="F917" i="32"/>
  <c r="F1084" s="1"/>
  <c r="G249" s="1"/>
  <c r="F703"/>
  <c r="F870" s="1"/>
  <c r="F1037" s="1"/>
  <c r="G202" s="1"/>
  <c r="G703" s="1"/>
  <c r="G870" s="1"/>
  <c r="G1037" s="1"/>
  <c r="H202" s="1"/>
  <c r="F789" i="9"/>
  <c r="F975" s="1"/>
  <c r="F1161" s="1"/>
  <c r="G231" s="1"/>
  <c r="G789" s="1"/>
  <c r="F861"/>
  <c r="F836"/>
  <c r="F1022" s="1"/>
  <c r="F1208" s="1"/>
  <c r="G278" s="1"/>
  <c r="F893"/>
  <c r="F1079" s="1"/>
  <c r="F1265" s="1"/>
  <c r="G335" s="1"/>
  <c r="G893" s="1"/>
  <c r="F857"/>
  <c r="H25" i="44"/>
  <c r="H37" s="1"/>
  <c r="H38" s="1"/>
  <c r="H21"/>
  <c r="H39" s="1"/>
  <c r="F142" i="3"/>
  <c r="G46" s="1"/>
  <c r="G94" s="1"/>
  <c r="G118" s="1"/>
  <c r="F1074" i="9"/>
  <c r="F1260" s="1"/>
  <c r="G330" s="1"/>
  <c r="G888" s="1"/>
  <c r="G1074" s="1"/>
  <c r="G1260" s="1"/>
  <c r="H330" s="1"/>
  <c r="F881" i="32"/>
  <c r="F1048" s="1"/>
  <c r="G213" s="1"/>
  <c r="G714" s="1"/>
  <c r="F946"/>
  <c r="F1113" s="1"/>
  <c r="G278" s="1"/>
  <c r="F1136"/>
  <c r="G301" s="1"/>
  <c r="F969" i="9"/>
  <c r="F1155" s="1"/>
  <c r="G225" s="1"/>
  <c r="F1163" i="32"/>
  <c r="G328" s="1"/>
  <c r="G829" s="1"/>
  <c r="F76" i="31"/>
  <c r="F94" s="1"/>
  <c r="F112" s="1"/>
  <c r="G40" s="1"/>
  <c r="F923" i="32"/>
  <c r="F1090" s="1"/>
  <c r="G255" s="1"/>
  <c r="F1223" i="9"/>
  <c r="G293" s="1"/>
  <c r="G851" s="1"/>
  <c r="F1070"/>
  <c r="F1256" s="1"/>
  <c r="G326" s="1"/>
  <c r="F1280"/>
  <c r="G350" s="1"/>
  <c r="G908" s="1"/>
  <c r="G1094" s="1"/>
  <c r="G1280" s="1"/>
  <c r="H350" s="1"/>
  <c r="F968" i="32"/>
  <c r="F1135" s="1"/>
  <c r="G300" s="1"/>
  <c r="G801" s="1"/>
  <c r="F963" i="9"/>
  <c r="F1149" s="1"/>
  <c r="G219" s="1"/>
  <c r="G777" s="1"/>
  <c r="F912" i="32"/>
  <c r="F1079" s="1"/>
  <c r="G244" s="1"/>
  <c r="G745" s="1"/>
  <c r="F1172"/>
  <c r="G337" s="1"/>
  <c r="F1020" i="9"/>
  <c r="F1206" s="1"/>
  <c r="G276" s="1"/>
  <c r="E115" i="3"/>
  <c r="E139" s="1"/>
  <c r="F43" s="1"/>
  <c r="D71" i="23"/>
  <c r="F145" i="3"/>
  <c r="G49" s="1"/>
  <c r="G97" s="1"/>
  <c r="G121" s="1"/>
  <c r="G145" s="1"/>
  <c r="H49" s="1"/>
  <c r="F939" i="32"/>
  <c r="F1106" s="1"/>
  <c r="G271" s="1"/>
  <c r="G772" s="1"/>
  <c r="F1011" i="9"/>
  <c r="F1197" s="1"/>
  <c r="G267" s="1"/>
  <c r="G825" s="1"/>
  <c r="G1011" s="1"/>
  <c r="G1197" s="1"/>
  <c r="H267" s="1"/>
  <c r="F1290"/>
  <c r="G360" s="1"/>
  <c r="G918" s="1"/>
  <c r="G1104" s="1"/>
  <c r="F140" i="3"/>
  <c r="G44" s="1"/>
  <c r="G92" s="1"/>
  <c r="F1156" i="32"/>
  <c r="G321" s="1"/>
  <c r="F882"/>
  <c r="F1049" s="1"/>
  <c r="G214" s="1"/>
  <c r="G715" s="1"/>
  <c r="F1117"/>
  <c r="G282" s="1"/>
  <c r="G783" s="1"/>
  <c r="G950" s="1"/>
  <c r="G1117" s="1"/>
  <c r="H282" s="1"/>
  <c r="F119" i="31"/>
  <c r="G47" s="1"/>
  <c r="F1152" i="32"/>
  <c r="G317" s="1"/>
  <c r="G818" s="1"/>
  <c r="F1041" i="9"/>
  <c r="F1227" s="1"/>
  <c r="G297" s="1"/>
  <c r="G855" s="1"/>
  <c r="G1041" s="1"/>
  <c r="G1306"/>
  <c r="H376" s="1"/>
  <c r="H934" s="1"/>
  <c r="H1120" s="1"/>
  <c r="H1306" s="1"/>
  <c r="I38" i="23"/>
  <c r="F877" i="32"/>
  <c r="F1044" s="1"/>
  <c r="G209" s="1"/>
  <c r="G710" s="1"/>
  <c r="F1070"/>
  <c r="G235" s="1"/>
  <c r="G736" s="1"/>
  <c r="F1196" i="9"/>
  <c r="G266" s="1"/>
  <c r="G824" s="1"/>
  <c r="F1144" i="32"/>
  <c r="G309" s="1"/>
  <c r="F1251" i="9"/>
  <c r="G321" s="1"/>
  <c r="F123" i="31"/>
  <c r="G51" s="1"/>
  <c r="G87" s="1"/>
  <c r="F1047" i="32"/>
  <c r="G212" s="1"/>
  <c r="F1275" i="9"/>
  <c r="G345" s="1"/>
  <c r="G903" s="1"/>
  <c r="F1093"/>
  <c r="F1279" s="1"/>
  <c r="G349" s="1"/>
  <c r="G907" s="1"/>
  <c r="G1093" s="1"/>
  <c r="G1279" s="1"/>
  <c r="H349" s="1"/>
  <c r="F111" i="31"/>
  <c r="G39" s="1"/>
  <c r="G75" s="1"/>
  <c r="F1147" i="9"/>
  <c r="G217" s="1"/>
  <c r="G775" s="1"/>
  <c r="G961" s="1"/>
  <c r="F1148" i="32"/>
  <c r="G313" s="1"/>
  <c r="G814" s="1"/>
  <c r="G981" s="1"/>
  <c r="G1148" s="1"/>
  <c r="H313" s="1"/>
  <c r="F1029" i="9"/>
  <c r="F1215" s="1"/>
  <c r="G285" s="1"/>
  <c r="G843" s="1"/>
  <c r="G1029" s="1"/>
  <c r="G1215" s="1"/>
  <c r="H285" s="1"/>
  <c r="F122" i="31"/>
  <c r="G50" s="1"/>
  <c r="F890" i="32"/>
  <c r="F1057" s="1"/>
  <c r="G222" s="1"/>
  <c r="G723" s="1"/>
  <c r="G890" s="1"/>
  <c r="G1057" s="1"/>
  <c r="H222" s="1"/>
  <c r="G1114" i="9"/>
  <c r="G1300" s="1"/>
  <c r="H370" s="1"/>
  <c r="F1125"/>
  <c r="F1311" s="1"/>
  <c r="G381" s="1"/>
  <c r="G939" s="1"/>
  <c r="F1063" i="32"/>
  <c r="G228" s="1"/>
  <c r="G729" s="1"/>
  <c r="G896" s="1"/>
  <c r="G1063" s="1"/>
  <c r="H228" s="1"/>
  <c r="F1143"/>
  <c r="G308" s="1"/>
  <c r="G809" s="1"/>
  <c r="G976" s="1"/>
  <c r="G1143" s="1"/>
  <c r="H308" s="1"/>
  <c r="F1066"/>
  <c r="G231" s="1"/>
  <c r="G732" s="1"/>
  <c r="G899" s="1"/>
  <c r="G1066" s="1"/>
  <c r="H231" s="1"/>
  <c r="F894"/>
  <c r="F1061" s="1"/>
  <c r="G226" s="1"/>
  <c r="F1131"/>
  <c r="G296" s="1"/>
  <c r="G797" s="1"/>
  <c r="G964" s="1"/>
  <c r="G1131" s="1"/>
  <c r="H296" s="1"/>
  <c r="F148" i="3"/>
  <c r="G52" s="1"/>
  <c r="G100" s="1"/>
  <c r="F867" i="32"/>
  <c r="F1034" s="1"/>
  <c r="G199" s="1"/>
  <c r="F1310" i="9"/>
  <c r="G380" s="1"/>
  <c r="G938" s="1"/>
  <c r="F1036"/>
  <c r="F1222" s="1"/>
  <c r="G292" s="1"/>
  <c r="G850" s="1"/>
  <c r="F965"/>
  <c r="F1151" s="1"/>
  <c r="G221" s="1"/>
  <c r="F1177" i="32"/>
  <c r="G342" s="1"/>
  <c r="G843" s="1"/>
  <c r="F909"/>
  <c r="F1076" s="1"/>
  <c r="G241" s="1"/>
  <c r="G742" s="1"/>
  <c r="F893"/>
  <c r="F1060" s="1"/>
  <c r="G225" s="1"/>
  <c r="G726" s="1"/>
  <c r="F737"/>
  <c r="G924" i="9"/>
  <c r="G1110" s="1"/>
  <c r="G1296" s="1"/>
  <c r="H366" s="1"/>
  <c r="G694" i="32"/>
  <c r="G861" s="1"/>
  <c r="G1028" s="1"/>
  <c r="H193" s="1"/>
  <c r="G691"/>
  <c r="G774" i="9"/>
  <c r="G960" s="1"/>
  <c r="G751" i="32"/>
  <c r="F819"/>
  <c r="F986" s="1"/>
  <c r="F909" i="9"/>
  <c r="F1095" s="1"/>
  <c r="G811"/>
  <c r="G997" s="1"/>
  <c r="G1183" s="1"/>
  <c r="H253" s="1"/>
  <c r="G105" i="3"/>
  <c r="G129" s="1"/>
  <c r="G153" s="1"/>
  <c r="H57" s="1"/>
  <c r="G922" i="9"/>
  <c r="G1108" s="1"/>
  <c r="G1294" s="1"/>
  <c r="H364" s="1"/>
  <c r="G739" i="32"/>
  <c r="G906" s="1"/>
  <c r="G1073" s="1"/>
  <c r="H238" s="1"/>
  <c r="G946" i="9"/>
  <c r="G937"/>
  <c r="G1123" s="1"/>
  <c r="G778"/>
  <c r="G964" s="1"/>
  <c r="G101" i="3"/>
  <c r="G125"/>
  <c r="G149" s="1"/>
  <c r="H53" s="1"/>
  <c r="G803" i="9"/>
  <c r="G810" i="32"/>
  <c r="G838" i="9"/>
  <c r="G1024" s="1"/>
  <c r="G1210" s="1"/>
  <c r="H280" s="1"/>
  <c r="G879"/>
  <c r="G845" i="32"/>
  <c r="G735"/>
  <c r="G902" s="1"/>
  <c r="G1069" s="1"/>
  <c r="H234" s="1"/>
  <c r="G800" i="9"/>
  <c r="G813" i="32"/>
  <c r="G980" s="1"/>
  <c r="G1147" s="1"/>
  <c r="H312" s="1"/>
  <c r="G807"/>
  <c r="G974" s="1"/>
  <c r="G1141" s="1"/>
  <c r="H306" s="1"/>
  <c r="G784"/>
  <c r="G859" i="9"/>
  <c r="G933"/>
  <c r="G1119" s="1"/>
  <c r="G1305" s="1"/>
  <c r="H375" s="1"/>
  <c r="F944"/>
  <c r="G810"/>
  <c r="G996" s="1"/>
  <c r="G838" i="32"/>
  <c r="G821"/>
  <c r="G80" i="31"/>
  <c r="G782" i="9"/>
  <c r="G968" s="1"/>
  <c r="G1154" s="1"/>
  <c r="H224" s="1"/>
  <c r="G789" i="32"/>
  <c r="G956" s="1"/>
  <c r="G1123" s="1"/>
  <c r="H288" s="1"/>
  <c r="G798" i="9"/>
  <c r="F805"/>
  <c r="F991" s="1"/>
  <c r="F1177" s="1"/>
  <c r="G247" s="1"/>
  <c r="G820" i="32"/>
  <c r="G987"/>
  <c r="G1154" s="1"/>
  <c r="H319" s="1"/>
  <c r="G788"/>
  <c r="G955" s="1"/>
  <c r="G1122" s="1"/>
  <c r="H287" s="1"/>
  <c r="G850"/>
  <c r="G1017"/>
  <c r="G787"/>
  <c r="G775"/>
  <c r="G942" s="1"/>
  <c r="F706"/>
  <c r="F77" i="31"/>
  <c r="F95" s="1"/>
  <c r="G830" i="32"/>
  <c r="G997" s="1"/>
  <c r="G831"/>
  <c r="G935" i="9"/>
  <c r="G1121" s="1"/>
  <c r="G1307" s="1"/>
  <c r="H377" s="1"/>
  <c r="G816"/>
  <c r="G844" i="32"/>
  <c r="G1011" s="1"/>
  <c r="G1178" s="1"/>
  <c r="H343" s="1"/>
  <c r="G874" i="9"/>
  <c r="G1060" s="1"/>
  <c r="G787"/>
  <c r="G820"/>
  <c r="G1006" s="1"/>
  <c r="G1192" s="1"/>
  <c r="H262" s="1"/>
  <c r="G806"/>
  <c r="G992" s="1"/>
  <c r="G96" i="3"/>
  <c r="G120" s="1"/>
  <c r="G866" i="9"/>
  <c r="G1052" s="1"/>
  <c r="G846"/>
  <c r="G830"/>
  <c r="G1016" s="1"/>
  <c r="G1202" s="1"/>
  <c r="H272" s="1"/>
  <c r="G773" i="32"/>
  <c r="G940" s="1"/>
  <c r="G1107" s="1"/>
  <c r="H272" s="1"/>
  <c r="G103" i="3"/>
  <c r="G127"/>
  <c r="G792" i="9"/>
  <c r="G978" s="1"/>
  <c r="G886"/>
  <c r="G1072" s="1"/>
  <c r="G1258" s="1"/>
  <c r="H328" s="1"/>
  <c r="G867"/>
  <c r="G1053" s="1"/>
  <c r="G1239" s="1"/>
  <c r="H309" s="1"/>
  <c r="G904"/>
  <c r="G1090" s="1"/>
  <c r="G780" i="32"/>
  <c r="G947"/>
  <c r="G860" i="9"/>
  <c r="G721" i="32"/>
  <c r="G888" s="1"/>
  <c r="G1055" s="1"/>
  <c r="H220" s="1"/>
  <c r="G936" i="9"/>
  <c r="G1122"/>
  <c r="F868"/>
  <c r="F1054" s="1"/>
  <c r="F1240" s="1"/>
  <c r="G310" s="1"/>
  <c r="G822" i="32"/>
  <c r="G989" s="1"/>
  <c r="G1156" s="1"/>
  <c r="H321" s="1"/>
  <c r="G803"/>
  <c r="G970"/>
  <c r="G83" i="31"/>
  <c r="G794" i="32"/>
  <c r="G961" s="1"/>
  <c r="G1128" s="1"/>
  <c r="H293" s="1"/>
  <c r="G901" i="9"/>
  <c r="G1087" s="1"/>
  <c r="G1273" s="1"/>
  <c r="H343" s="1"/>
  <c r="G790" i="32"/>
  <c r="G957" s="1"/>
  <c r="G795" i="9"/>
  <c r="G981" s="1"/>
  <c r="G1167" s="1"/>
  <c r="H237" s="1"/>
  <c r="F711" i="32"/>
  <c r="F797" i="9"/>
  <c r="F983" s="1"/>
  <c r="F1169" s="1"/>
  <c r="G239" s="1"/>
  <c r="F846" i="32"/>
  <c r="F1013" s="1"/>
  <c r="G717"/>
  <c r="G791" i="9"/>
  <c r="G102" i="3"/>
  <c r="G126" s="1"/>
  <c r="G150" s="1"/>
  <c r="H54" s="1"/>
  <c r="G854" i="9"/>
  <c r="G768"/>
  <c r="G899"/>
  <c r="G1085" s="1"/>
  <c r="G1271" s="1"/>
  <c r="H341" s="1"/>
  <c r="G790"/>
  <c r="G704" i="32"/>
  <c r="G871" s="1"/>
  <c r="G1038" s="1"/>
  <c r="H203" s="1"/>
  <c r="G748"/>
  <c r="G915"/>
  <c r="G770"/>
  <c r="G937" s="1"/>
  <c r="G1104" s="1"/>
  <c r="H269" s="1"/>
  <c r="G917" i="9"/>
  <c r="G1103" s="1"/>
  <c r="G1289" s="1"/>
  <c r="H359" s="1"/>
  <c r="G695" i="32"/>
  <c r="G862"/>
  <c r="G785"/>
  <c r="G952" s="1"/>
  <c r="G1119" s="1"/>
  <c r="H284" s="1"/>
  <c r="G786" i="9"/>
  <c r="G837"/>
  <c r="G1023" s="1"/>
  <c r="G1209" s="1"/>
  <c r="H279" s="1"/>
  <c r="F869"/>
  <c r="G896"/>
  <c r="G878"/>
  <c r="G1064" s="1"/>
  <c r="G1250" s="1"/>
  <c r="H320" s="1"/>
  <c r="G858"/>
  <c r="G1044" s="1"/>
  <c r="G1230" s="1"/>
  <c r="H300" s="1"/>
  <c r="G832"/>
  <c r="G1018" s="1"/>
  <c r="G905"/>
  <c r="G1091" s="1"/>
  <c r="G1277" s="1"/>
  <c r="H347" s="1"/>
  <c r="G947"/>
  <c r="G1133" s="1"/>
  <c r="G1319" s="1"/>
  <c r="H389" s="1"/>
  <c r="G759" i="32"/>
  <c r="G926" s="1"/>
  <c r="G1093" s="1"/>
  <c r="H258" s="1"/>
  <c r="G898" i="9"/>
  <c r="G1084" s="1"/>
  <c r="G747" i="32"/>
  <c r="G719"/>
  <c r="G886" s="1"/>
  <c r="G1053" s="1"/>
  <c r="H218" s="1"/>
  <c r="G702"/>
  <c r="G856" i="9"/>
  <c r="G1042" s="1"/>
  <c r="G1228" s="1"/>
  <c r="H298" s="1"/>
  <c r="G925"/>
  <c r="G1111" s="1"/>
  <c r="G1297" s="1"/>
  <c r="H367" s="1"/>
  <c r="G98" i="3"/>
  <c r="G122" s="1"/>
  <c r="G853" i="9"/>
  <c r="G93" i="3"/>
  <c r="G117" s="1"/>
  <c r="G839" i="32"/>
  <c r="G1006" s="1"/>
  <c r="G716"/>
  <c r="G883"/>
  <c r="G945" i="9"/>
  <c r="H926"/>
  <c r="G791" i="32"/>
  <c r="G749"/>
  <c r="G916" s="1"/>
  <c r="G1083" s="1"/>
  <c r="H248" s="1"/>
  <c r="H940" i="9"/>
  <c r="H1126" s="1"/>
  <c r="F50" i="43"/>
  <c r="G826" i="32"/>
  <c r="G993"/>
  <c r="G1160" s="1"/>
  <c r="H325" s="1"/>
  <c r="F722"/>
  <c r="G845" i="9"/>
  <c r="G1031" s="1"/>
  <c r="G1217" s="1"/>
  <c r="H287" s="1"/>
  <c r="G815" i="32"/>
  <c r="G982" s="1"/>
  <c r="G1149" s="1"/>
  <c r="H314" s="1"/>
  <c r="G836"/>
  <c r="G916" i="9"/>
  <c r="G1102" s="1"/>
  <c r="G774" i="32"/>
  <c r="G941"/>
  <c r="G837"/>
  <c r="G1004" s="1"/>
  <c r="G1171" s="1"/>
  <c r="H336" s="1"/>
  <c r="G847"/>
  <c r="G1014" s="1"/>
  <c r="G1181" s="1"/>
  <c r="H346" s="1"/>
  <c r="G799" i="9"/>
  <c r="G985" s="1"/>
  <c r="G808"/>
  <c r="G994" s="1"/>
  <c r="G1180" s="1"/>
  <c r="H250" s="1"/>
  <c r="F95" i="3"/>
  <c r="F119" s="1"/>
  <c r="F50" i="44"/>
  <c r="F108" i="3"/>
  <c r="F132" s="1"/>
  <c r="F156" s="1"/>
  <c r="G60" s="1"/>
  <c r="G707" i="32"/>
  <c r="G874" s="1"/>
  <c r="G1041" s="1"/>
  <c r="H206" s="1"/>
  <c r="G744"/>
  <c r="G873" i="9"/>
  <c r="G106" i="3"/>
  <c r="G130" s="1"/>
  <c r="G827" i="32"/>
  <c r="G994"/>
  <c r="G1161" s="1"/>
  <c r="H326" s="1"/>
  <c r="F913" i="9"/>
  <c r="F796"/>
  <c r="F982" s="1"/>
  <c r="F1168" s="1"/>
  <c r="G238" s="1"/>
  <c r="F708" i="32"/>
  <c r="F875" s="1"/>
  <c r="F740"/>
  <c r="F907" s="1"/>
  <c r="F1074" s="1"/>
  <c r="G239" s="1"/>
  <c r="G894" i="9"/>
  <c r="G1080" s="1"/>
  <c r="G796" i="32"/>
  <c r="G728"/>
  <c r="G826" i="9"/>
  <c r="G839"/>
  <c r="G862"/>
  <c r="G82" i="31"/>
  <c r="G100" s="1"/>
  <c r="G766" i="32"/>
  <c r="G933" s="1"/>
  <c r="G844" i="9"/>
  <c r="G1030" s="1"/>
  <c r="G1216" s="1"/>
  <c r="H286" s="1"/>
  <c r="G814"/>
  <c r="G900"/>
  <c r="G1086" s="1"/>
  <c r="G906"/>
  <c r="G1092" s="1"/>
  <c r="G1278" s="1"/>
  <c r="H348" s="1"/>
  <c r="G778" i="32"/>
  <c r="G923" i="9"/>
  <c r="G1109" s="1"/>
  <c r="G1295" s="1"/>
  <c r="H365" s="1"/>
  <c r="E84" i="41"/>
  <c r="E68"/>
  <c r="I60" i="42"/>
  <c r="I49"/>
  <c r="I81" s="1"/>
  <c r="D81" s="1"/>
  <c r="G849" i="9"/>
  <c r="F741" i="32"/>
  <c r="F908" s="1"/>
  <c r="H39" i="4"/>
  <c r="H73" s="1"/>
  <c r="H62"/>
  <c r="H92" i="42"/>
  <c r="G930" i="9"/>
  <c r="G1116" s="1"/>
  <c r="G807"/>
  <c r="G993" s="1"/>
  <c r="G1179" s="1"/>
  <c r="H249" s="1"/>
  <c r="F74" i="42"/>
  <c r="F83"/>
  <c r="G848" i="32"/>
  <c r="H22" i="44"/>
  <c r="H23" s="1"/>
  <c r="I18" s="1"/>
  <c r="G788" i="9"/>
  <c r="G974"/>
  <c r="G1160" s="1"/>
  <c r="H230" s="1"/>
  <c r="F769" i="32"/>
  <c r="F1174" i="9"/>
  <c r="G244" s="1"/>
  <c r="G767" i="32"/>
  <c r="G934"/>
  <c r="G831" i="9"/>
  <c r="G1017"/>
  <c r="E61" i="4"/>
  <c r="E29" i="20"/>
  <c r="E31" s="1"/>
  <c r="E35" s="1"/>
  <c r="E70" i="41"/>
  <c r="E29"/>
  <c r="E31" s="1"/>
  <c r="E35" s="1"/>
  <c r="I75" i="38"/>
  <c r="I118" s="1"/>
  <c r="I161" s="1"/>
  <c r="I100"/>
  <c r="I143" s="1"/>
  <c r="I186" s="1"/>
  <c r="I73"/>
  <c r="I116" s="1"/>
  <c r="I159" s="1"/>
  <c r="I103"/>
  <c r="I146" s="1"/>
  <c r="I189" s="1"/>
  <c r="I71"/>
  <c r="I114" s="1"/>
  <c r="I157" s="1"/>
  <c r="I65"/>
  <c r="I108" s="1"/>
  <c r="I151" s="1"/>
  <c r="I83"/>
  <c r="I126" s="1"/>
  <c r="I169" s="1"/>
  <c r="I67"/>
  <c r="I110" s="1"/>
  <c r="I153" s="1"/>
  <c r="I69"/>
  <c r="I112" s="1"/>
  <c r="I155" s="1"/>
  <c r="I101"/>
  <c r="I144" s="1"/>
  <c r="I187" s="1"/>
  <c r="I95"/>
  <c r="I138" s="1"/>
  <c r="I181" s="1"/>
  <c r="I88"/>
  <c r="I131" s="1"/>
  <c r="I174" s="1"/>
  <c r="I85"/>
  <c r="I128" s="1"/>
  <c r="I171" s="1"/>
  <c r="I78"/>
  <c r="I121" s="1"/>
  <c r="I164" s="1"/>
  <c r="I92"/>
  <c r="I135" s="1"/>
  <c r="I178" s="1"/>
  <c r="I96"/>
  <c r="I139" s="1"/>
  <c r="I182" s="1"/>
  <c r="I76"/>
  <c r="I119" s="1"/>
  <c r="I162" s="1"/>
  <c r="I97"/>
  <c r="I140" s="1"/>
  <c r="I183" s="1"/>
  <c r="I82"/>
  <c r="I125" s="1"/>
  <c r="I168" s="1"/>
  <c r="I98"/>
  <c r="I141" s="1"/>
  <c r="I184" s="1"/>
  <c r="I64"/>
  <c r="I107" s="1"/>
  <c r="I150" s="1"/>
  <c r="I99"/>
  <c r="I142" s="1"/>
  <c r="I185" s="1"/>
  <c r="I79"/>
  <c r="I122" s="1"/>
  <c r="I165" s="1"/>
  <c r="I84"/>
  <c r="I127" s="1"/>
  <c r="I170" s="1"/>
  <c r="I81"/>
  <c r="I124" s="1"/>
  <c r="I167" s="1"/>
  <c r="I89"/>
  <c r="I132" s="1"/>
  <c r="I175" s="1"/>
  <c r="I102"/>
  <c r="I145" s="1"/>
  <c r="I188" s="1"/>
  <c r="I66"/>
  <c r="I109" s="1"/>
  <c r="I152" s="1"/>
  <c r="I91"/>
  <c r="I134" s="1"/>
  <c r="I177" s="1"/>
  <c r="I90"/>
  <c r="I133" s="1"/>
  <c r="I176" s="1"/>
  <c r="I63"/>
  <c r="I106" s="1"/>
  <c r="I149" s="1"/>
  <c r="I93"/>
  <c r="I136" s="1"/>
  <c r="I179" s="1"/>
  <c r="I87"/>
  <c r="I130" s="1"/>
  <c r="I173" s="1"/>
  <c r="I72"/>
  <c r="I115" s="1"/>
  <c r="I158" s="1"/>
  <c r="I86"/>
  <c r="I129" s="1"/>
  <c r="I172" s="1"/>
  <c r="I68"/>
  <c r="I111" s="1"/>
  <c r="I154" s="1"/>
  <c r="I70"/>
  <c r="I113" s="1"/>
  <c r="I156" s="1"/>
  <c r="I74"/>
  <c r="I117" s="1"/>
  <c r="I160" s="1"/>
  <c r="I94"/>
  <c r="I137" s="1"/>
  <c r="I180" s="1"/>
  <c r="I77"/>
  <c r="I120" s="1"/>
  <c r="I163" s="1"/>
  <c r="I80"/>
  <c r="I123" s="1"/>
  <c r="I166" s="1"/>
  <c r="D28" i="4"/>
  <c r="G942" i="9"/>
  <c r="G1128" s="1"/>
  <c r="I69" i="4"/>
  <c r="I20" i="41"/>
  <c r="I23" s="1"/>
  <c r="I27" s="1"/>
  <c r="I61"/>
  <c r="I64" s="1"/>
  <c r="G849" i="32"/>
  <c r="G1016"/>
  <c r="G1183" s="1"/>
  <c r="H348" s="1"/>
  <c r="I39" i="4"/>
  <c r="I73" s="1"/>
  <c r="I62"/>
  <c r="F770" i="9"/>
  <c r="F956"/>
  <c r="F1142" s="1"/>
  <c r="G212" s="1"/>
  <c r="F812"/>
  <c r="F998" s="1"/>
  <c r="F1184" s="1"/>
  <c r="G254" s="1"/>
  <c r="F853" i="32"/>
  <c r="F1020" s="1"/>
  <c r="F78" i="31"/>
  <c r="F96" s="1"/>
  <c r="F114" s="1"/>
  <c r="G42" s="1"/>
  <c r="F712" i="32"/>
  <c r="G812"/>
  <c r="G979" s="1"/>
  <c r="G1146" s="1"/>
  <c r="H311" s="1"/>
  <c r="F833" i="9"/>
  <c r="F780"/>
  <c r="F966" s="1"/>
  <c r="F1152" s="1"/>
  <c r="G222" s="1"/>
  <c r="G834" i="32"/>
  <c r="G1001" s="1"/>
  <c r="F793"/>
  <c r="F960" s="1"/>
  <c r="F1127" s="1"/>
  <c r="G292" s="1"/>
  <c r="F801" i="9"/>
  <c r="F987" s="1"/>
  <c r="F755" i="32"/>
  <c r="F922" s="1"/>
  <c r="F1004" i="9"/>
  <c r="F1190" s="1"/>
  <c r="G260" s="1"/>
  <c r="F1001"/>
  <c r="F1187" s="1"/>
  <c r="G257" s="1"/>
  <c r="F19" i="4"/>
  <c r="F53" s="1"/>
  <c r="F106" i="41"/>
  <c r="F924" i="32"/>
  <c r="F1091" s="1"/>
  <c r="G256" s="1"/>
  <c r="H25" i="43"/>
  <c r="H21"/>
  <c r="H39" s="1"/>
  <c r="F724" i="32"/>
  <c r="F1098" i="9"/>
  <c r="F1284" s="1"/>
  <c r="G354" s="1"/>
  <c r="F763" i="32"/>
  <c r="F930" s="1"/>
  <c r="F1097" s="1"/>
  <c r="G262" s="1"/>
  <c r="F1105" i="9"/>
  <c r="F1291" s="1"/>
  <c r="G361" s="1"/>
  <c r="E46" i="4"/>
  <c r="E44"/>
  <c r="F43" s="1"/>
  <c r="E15" i="3"/>
  <c r="F17" i="4" s="1"/>
  <c r="F102" i="41"/>
  <c r="F877" i="9"/>
  <c r="F1063" s="1"/>
  <c r="F1249" s="1"/>
  <c r="G319" s="1"/>
  <c r="F817"/>
  <c r="E60" i="35"/>
  <c r="E87" i="42"/>
  <c r="F842" i="32"/>
  <c r="F1009" s="1"/>
  <c r="G22" i="42"/>
  <c r="G23" s="1"/>
  <c r="H18" s="1"/>
  <c r="F811" i="32"/>
  <c r="F852" i="9"/>
  <c r="F1038" s="1"/>
  <c r="F692" i="32"/>
  <c r="F104" i="3"/>
  <c r="F128" s="1"/>
  <c r="F835" i="32"/>
  <c r="F1002" s="1"/>
  <c r="F1169" s="1"/>
  <c r="G334" s="1"/>
  <c r="E28" i="35"/>
  <c r="E19"/>
  <c r="E20" s="1"/>
  <c r="E23" s="1"/>
  <c r="F1158" i="32"/>
  <c r="G323" s="1"/>
  <c r="F885"/>
  <c r="F1052" s="1"/>
  <c r="G217" s="1"/>
  <c r="F1213" i="9"/>
  <c r="G283" s="1"/>
  <c r="F1264"/>
  <c r="G334" s="1"/>
  <c r="F1088" i="32"/>
  <c r="G253" s="1"/>
  <c r="G1118" i="9"/>
  <c r="G1304" s="1"/>
  <c r="H374" s="1"/>
  <c r="F1254"/>
  <c r="G324" s="1"/>
  <c r="F1080" i="32"/>
  <c r="G245" s="1"/>
  <c r="F943"/>
  <c r="F1110" s="1"/>
  <c r="G275" s="1"/>
  <c r="F1194" i="9"/>
  <c r="G264" s="1"/>
  <c r="F1303"/>
  <c r="G373" s="1"/>
  <c r="F931" i="32"/>
  <c r="F1098" s="1"/>
  <c r="G263" s="1"/>
  <c r="F1244" i="9"/>
  <c r="G314" s="1"/>
  <c r="F1195"/>
  <c r="G265" s="1"/>
  <c r="F1077" i="32"/>
  <c r="G242" s="1"/>
  <c r="F1255" i="9"/>
  <c r="G325" s="1"/>
  <c r="F1248"/>
  <c r="G318" s="1"/>
  <c r="F1132" i="32"/>
  <c r="G297" s="1"/>
  <c r="F1139"/>
  <c r="G304" s="1"/>
  <c r="F1043"/>
  <c r="G208" s="1"/>
  <c r="F1274" i="9"/>
  <c r="G344" s="1"/>
  <c r="F1035" i="32"/>
  <c r="G200" s="1"/>
  <c r="F1107" i="9"/>
  <c r="F1293" s="1"/>
  <c r="G363" s="1"/>
  <c r="F1129" i="32"/>
  <c r="G294" s="1"/>
  <c r="F914" i="9"/>
  <c r="F1100" s="1"/>
  <c r="G816" i="32"/>
  <c r="G983" s="1"/>
  <c r="E80" i="4"/>
  <c r="E78"/>
  <c r="F77" s="1"/>
  <c r="H35" i="35"/>
  <c r="H21" i="20"/>
  <c r="H23" s="1"/>
  <c r="H27" s="1"/>
  <c r="D32" i="35"/>
  <c r="I34" i="42"/>
  <c r="F871" i="9"/>
  <c r="F1057" s="1"/>
  <c r="F1243" s="1"/>
  <c r="G313" s="1"/>
  <c r="F771" i="32"/>
  <c r="F938" s="1"/>
  <c r="F889" i="9"/>
  <c r="F1075" s="1"/>
  <c r="F1261" s="1"/>
  <c r="G331" s="1"/>
  <c r="F769"/>
  <c r="F955" s="1"/>
  <c r="F1141" s="1"/>
  <c r="G211" s="1"/>
  <c r="E110" i="31"/>
  <c r="F813" i="9"/>
  <c r="F720" i="32"/>
  <c r="F887" s="1"/>
  <c r="F1054" s="1"/>
  <c r="G219" s="1"/>
  <c r="F835" i="9"/>
  <c r="H69" i="4"/>
  <c r="H20" i="41"/>
  <c r="H23" s="1"/>
  <c r="H27" s="1"/>
  <c r="H61"/>
  <c r="H64" s="1"/>
  <c r="D66" i="4"/>
  <c r="F693" i="32"/>
  <c r="F804"/>
  <c r="G698"/>
  <c r="G864" i="9"/>
  <c r="G1050" s="1"/>
  <c r="F1086" i="32"/>
  <c r="G251" s="1"/>
  <c r="G852"/>
  <c r="G1019" s="1"/>
  <c r="G1186" s="1"/>
  <c r="H351" s="1"/>
  <c r="F1097" i="9"/>
  <c r="F1283" s="1"/>
  <c r="G353" s="1"/>
  <c r="F980"/>
  <c r="F1166" s="1"/>
  <c r="G236" s="1"/>
  <c r="F53" i="33"/>
  <c r="F9" s="1"/>
  <c r="F16" s="1"/>
  <c r="F92"/>
  <c r="F107" s="1"/>
  <c r="F13" s="1"/>
  <c r="G37" i="35" s="1"/>
  <c r="F1106" i="9"/>
  <c r="F1292" s="1"/>
  <c r="G362" s="1"/>
  <c r="F935" i="32"/>
  <c r="F1102" s="1"/>
  <c r="G267" s="1"/>
  <c r="F995" i="9"/>
  <c r="F1181" s="1"/>
  <c r="G251" s="1"/>
  <c r="F781"/>
  <c r="F42" i="42"/>
  <c r="F43" s="1"/>
  <c r="F46" s="1"/>
  <c r="F51"/>
  <c r="F948" i="32"/>
  <c r="F1115" s="1"/>
  <c r="G280" s="1"/>
  <c r="F696"/>
  <c r="F863" s="1"/>
  <c r="F1030" s="1"/>
  <c r="G195" s="1"/>
  <c r="F18" i="35"/>
  <c r="F52" s="1"/>
  <c r="F1162" i="32"/>
  <c r="G327" s="1"/>
  <c r="F863" i="9"/>
  <c r="F1049" s="1"/>
  <c r="F1235" s="1"/>
  <c r="G305" s="1"/>
  <c r="F730" i="32"/>
  <c r="F897" s="1"/>
  <c r="F1064" s="1"/>
  <c r="G229" s="1"/>
  <c r="F109" i="3"/>
  <c r="F910" i="9"/>
  <c r="F808" i="32"/>
  <c r="F975" s="1"/>
  <c r="F885" i="9"/>
  <c r="F1071" s="1"/>
  <c r="F785"/>
  <c r="F792" i="32"/>
  <c r="F959" s="1"/>
  <c r="F1126" s="1"/>
  <c r="G291" s="1"/>
  <c r="F999"/>
  <c r="F1166" s="1"/>
  <c r="G331" s="1"/>
  <c r="F900"/>
  <c r="F1067" s="1"/>
  <c r="G232" s="1"/>
  <c r="F1127" i="9"/>
  <c r="F1313" s="1"/>
  <c r="G383" s="1"/>
  <c r="F1067"/>
  <c r="F1253" s="1"/>
  <c r="G323" s="1"/>
  <c r="F102" i="31"/>
  <c r="F120" s="1"/>
  <c r="G48" s="1"/>
  <c r="F1143" i="9"/>
  <c r="G213" s="1"/>
  <c r="F1066"/>
  <c r="F1252" s="1"/>
  <c r="G322" s="1"/>
  <c r="F1077"/>
  <c r="F1263" s="1"/>
  <c r="G333" s="1"/>
  <c r="F1034"/>
  <c r="F1220" s="1"/>
  <c r="G290" s="1"/>
  <c r="F1259"/>
  <c r="G329" s="1"/>
  <c r="F1200"/>
  <c r="G270" s="1"/>
  <c r="F1018" i="32"/>
  <c r="F1185" s="1"/>
  <c r="G350" s="1"/>
  <c r="F949"/>
  <c r="F1116" s="1"/>
  <c r="G281" s="1"/>
  <c r="F953" i="9"/>
  <c r="F1139" s="1"/>
  <c r="G209" s="1"/>
  <c r="F984" i="32"/>
  <c r="F1151" s="1"/>
  <c r="G316" s="1"/>
  <c r="F1120"/>
  <c r="G285" s="1"/>
  <c r="F966"/>
  <c r="F1133" s="1"/>
  <c r="G298" s="1"/>
  <c r="F929"/>
  <c r="F1096" s="1"/>
  <c r="G261" s="1"/>
  <c r="F1081" i="9"/>
  <c r="F1267" s="1"/>
  <c r="G337" s="1"/>
  <c r="F1005"/>
  <c r="F1191" s="1"/>
  <c r="G261" s="1"/>
  <c r="F131" i="3"/>
  <c r="F155" s="1"/>
  <c r="G59" s="1"/>
  <c r="F1072" i="32"/>
  <c r="G237" s="1"/>
  <c r="F103" i="31"/>
  <c r="F121" s="1"/>
  <c r="G49" s="1"/>
  <c r="F765" i="32"/>
  <c r="F932" s="1"/>
  <c r="F1099" s="1"/>
  <c r="G264" s="1"/>
  <c r="D77" i="23"/>
  <c r="D80"/>
  <c r="F793" i="9"/>
  <c r="F979" s="1"/>
  <c r="F73" i="35"/>
  <c r="F97" i="31"/>
  <c r="F115" s="1"/>
  <c r="G43" s="1"/>
  <c r="F758" i="32"/>
  <c r="F925" s="1"/>
  <c r="G49" i="43"/>
  <c r="G40"/>
  <c r="G41" s="1"/>
  <c r="G44" s="1"/>
  <c r="F16" i="35"/>
  <c r="F823" i="32"/>
  <c r="F990" s="1"/>
  <c r="F1157" s="1"/>
  <c r="G322" s="1"/>
  <c r="F777"/>
  <c r="F944" s="1"/>
  <c r="F890" i="9"/>
  <c r="F99" i="3"/>
  <c r="G46" i="29"/>
  <c r="F161"/>
  <c r="F14" s="1"/>
  <c r="F18" s="1"/>
  <c r="F699" i="32"/>
  <c r="F866" s="1"/>
  <c r="E95" i="41"/>
  <c r="E110"/>
  <c r="E114"/>
  <c r="F1129" i="9"/>
  <c r="F1315" s="1"/>
  <c r="G385" s="1"/>
  <c r="F920" i="32"/>
  <c r="F1087" s="1"/>
  <c r="G252" s="1"/>
  <c r="F1033" i="9"/>
  <c r="F1219" s="1"/>
  <c r="G289" s="1"/>
  <c r="F1008" i="32"/>
  <c r="F1175" s="1"/>
  <c r="G340" s="1"/>
  <c r="F1007"/>
  <c r="F1174" s="1"/>
  <c r="G339" s="1"/>
  <c r="F973"/>
  <c r="F1140" s="1"/>
  <c r="G305" s="1"/>
  <c r="F952" i="9"/>
  <c r="F1138" s="1"/>
  <c r="G208" s="1"/>
  <c r="G39" i="42"/>
  <c r="G61"/>
  <c r="F842" i="9"/>
  <c r="F1028" s="1"/>
  <c r="F40" i="35"/>
  <c r="G40" i="44"/>
  <c r="G41" s="1"/>
  <c r="G44" s="1"/>
  <c r="G49"/>
  <c r="F725" i="32"/>
  <c r="F892" s="1"/>
  <c r="F821" i="9"/>
  <c r="F1007" s="1"/>
  <c r="F1193" s="1"/>
  <c r="G263" s="1"/>
  <c r="F1022" i="34"/>
  <c r="F351"/>
  <c r="F9" s="1"/>
  <c r="F855"/>
  <c r="F1019" s="1"/>
  <c r="F13" s="1"/>
  <c r="F75" i="42"/>
  <c r="F800" i="32"/>
  <c r="F967"/>
  <c r="F875" i="9"/>
  <c r="G772"/>
  <c r="G958" s="1"/>
  <c r="E62" i="35"/>
  <c r="E53"/>
  <c r="E54" s="1"/>
  <c r="E57" s="1"/>
  <c r="F773" i="9"/>
  <c r="F829"/>
  <c r="F1015" s="1"/>
  <c r="G827"/>
  <c r="G1013" s="1"/>
  <c r="G1199" s="1"/>
  <c r="H269" s="1"/>
  <c r="F734" i="32"/>
  <c r="F865" i="9"/>
  <c r="F1051" s="1"/>
  <c r="G804"/>
  <c r="G990" s="1"/>
  <c r="G1176" s="1"/>
  <c r="H246" s="1"/>
  <c r="F840"/>
  <c r="F870"/>
  <c r="F1056" s="1"/>
  <c r="F784"/>
  <c r="F970" s="1"/>
  <c r="F1156" s="1"/>
  <c r="G226" s="1"/>
  <c r="F1137" i="27"/>
  <c r="F390"/>
  <c r="F9" s="1"/>
  <c r="F951"/>
  <c r="F1134" s="1"/>
  <c r="F13" s="1"/>
  <c r="G37" i="4" s="1"/>
  <c r="F825" i="32"/>
  <c r="F992" s="1"/>
  <c r="F1159" s="1"/>
  <c r="G324" s="1"/>
  <c r="G858" l="1"/>
  <c r="G1025" s="1"/>
  <c r="H190" s="1"/>
  <c r="F1214" i="9"/>
  <c r="G284" s="1"/>
  <c r="E1021" i="32"/>
  <c r="E13" s="1"/>
  <c r="F26" i="35" s="1"/>
  <c r="F60" s="1"/>
  <c r="E1134" i="9"/>
  <c r="E13" s="1"/>
  <c r="H59" i="44"/>
  <c r="H62" s="1"/>
  <c r="H64" s="1"/>
  <c r="H22" i="43"/>
  <c r="H23" s="1"/>
  <c r="I18" s="1"/>
  <c r="G833" i="32"/>
  <c r="G1000" s="1"/>
  <c r="G1167" s="1"/>
  <c r="H332" s="1"/>
  <c r="H833" s="1"/>
  <c r="H1000" s="1"/>
  <c r="H1167" s="1"/>
  <c r="G731"/>
  <c r="G898" s="1"/>
  <c r="G1065" s="1"/>
  <c r="H230" s="1"/>
  <c r="H731" s="1"/>
  <c r="G929" i="9"/>
  <c r="G1115" s="1"/>
  <c r="G1301" s="1"/>
  <c r="H371" s="1"/>
  <c r="G1109" i="32"/>
  <c r="H274" s="1"/>
  <c r="H775" s="1"/>
  <c r="G1266" i="9"/>
  <c r="H336" s="1"/>
  <c r="H894" s="1"/>
  <c r="G881" i="32"/>
  <c r="G1048" s="1"/>
  <c r="H213" s="1"/>
  <c r="H714" s="1"/>
  <c r="H881" s="1"/>
  <c r="H1048" s="1"/>
  <c r="G776" i="9"/>
  <c r="G962" s="1"/>
  <c r="G1148" s="1"/>
  <c r="H218" s="1"/>
  <c r="H776" s="1"/>
  <c r="H962" s="1"/>
  <c r="H1148" s="1"/>
  <c r="G779" i="32"/>
  <c r="G946" s="1"/>
  <c r="G1113" s="1"/>
  <c r="H278" s="1"/>
  <c r="G1035" i="9"/>
  <c r="G1221" s="1"/>
  <c r="H291" s="1"/>
  <c r="H849" s="1"/>
  <c r="H1035" s="1"/>
  <c r="H1221" s="1"/>
  <c r="E1320"/>
  <c r="E14" s="1"/>
  <c r="E18" s="1"/>
  <c r="F158" i="3"/>
  <c r="G62" s="1"/>
  <c r="G110" s="1"/>
  <c r="G750" i="32"/>
  <c r="G917" s="1"/>
  <c r="G1084" s="1"/>
  <c r="H249" s="1"/>
  <c r="H750" s="1"/>
  <c r="H917" s="1"/>
  <c r="H1084" s="1"/>
  <c r="G897" i="9"/>
  <c r="D62" i="4"/>
  <c r="F1242" i="9"/>
  <c r="G312" s="1"/>
  <c r="G870" s="1"/>
  <c r="G1056" s="1"/>
  <c r="G802" i="32"/>
  <c r="G969" s="1"/>
  <c r="G1136" s="1"/>
  <c r="H301" s="1"/>
  <c r="H802" s="1"/>
  <c r="H969" s="1"/>
  <c r="H1136" s="1"/>
  <c r="G1089" i="9"/>
  <c r="G1275" s="1"/>
  <c r="H345" s="1"/>
  <c r="H903" s="1"/>
  <c r="F117" i="31"/>
  <c r="G45" s="1"/>
  <c r="G81" s="1"/>
  <c r="G99" s="1"/>
  <c r="G1137" i="32"/>
  <c r="H302" s="1"/>
  <c r="H803" s="1"/>
  <c r="F1043" i="9"/>
  <c r="F1229" s="1"/>
  <c r="G299" s="1"/>
  <c r="F1134" i="32"/>
  <c r="G299" s="1"/>
  <c r="G800" s="1"/>
  <c r="G967" s="1"/>
  <c r="F1176"/>
  <c r="G341" s="1"/>
  <c r="G842" s="1"/>
  <c r="G1009" s="1"/>
  <c r="G1176" s="1"/>
  <c r="H341" s="1"/>
  <c r="G116" i="3"/>
  <c r="G140" s="1"/>
  <c r="H44" s="1"/>
  <c r="H92" s="1"/>
  <c r="G1178" i="9"/>
  <c r="H248" s="1"/>
  <c r="H806" s="1"/>
  <c r="G1037"/>
  <c r="G1223" s="1"/>
  <c r="H293" s="1"/>
  <c r="G996" i="32"/>
  <c r="G1163" s="1"/>
  <c r="H328" s="1"/>
  <c r="H829" s="1"/>
  <c r="F1237" i="9"/>
  <c r="G307" s="1"/>
  <c r="G865" s="1"/>
  <c r="G1051" s="1"/>
  <c r="G1237" s="1"/>
  <c r="H307" s="1"/>
  <c r="G884"/>
  <c r="G1070" s="1"/>
  <c r="G1256" s="1"/>
  <c r="H326" s="1"/>
  <c r="H884" s="1"/>
  <c r="E136" i="3"/>
  <c r="E12" s="1"/>
  <c r="G86" i="31"/>
  <c r="G104" s="1"/>
  <c r="G122" s="1"/>
  <c r="H50" s="1"/>
  <c r="H86" s="1"/>
  <c r="H104" s="1"/>
  <c r="H122" s="1"/>
  <c r="G105"/>
  <c r="G123" s="1"/>
  <c r="H51" s="1"/>
  <c r="G713" i="32"/>
  <c r="G880" s="1"/>
  <c r="G1047" s="1"/>
  <c r="H212" s="1"/>
  <c r="H713" s="1"/>
  <c r="H880" s="1"/>
  <c r="G93" i="31"/>
  <c r="G111" s="1"/>
  <c r="H39" s="1"/>
  <c r="H75" s="1"/>
  <c r="G939" i="32"/>
  <c r="G1106" s="1"/>
  <c r="H271" s="1"/>
  <c r="G985"/>
  <c r="G1152" s="1"/>
  <c r="H317" s="1"/>
  <c r="G783" i="9"/>
  <c r="G969" s="1"/>
  <c r="G836"/>
  <c r="G1022" s="1"/>
  <c r="G700" i="32"/>
  <c r="G867" s="1"/>
  <c r="G1034" s="1"/>
  <c r="H199" s="1"/>
  <c r="G1036" i="9"/>
  <c r="G1222" s="1"/>
  <c r="H292" s="1"/>
  <c r="H850" s="1"/>
  <c r="G894" i="32"/>
  <c r="G727"/>
  <c r="G756"/>
  <c r="G923" s="1"/>
  <c r="G779" i="9"/>
  <c r="G76" i="31"/>
  <c r="G94" s="1"/>
  <c r="G112" s="1"/>
  <c r="H40" s="1"/>
  <c r="H76" s="1"/>
  <c r="H94" s="1"/>
  <c r="H112" s="1"/>
  <c r="G834" i="9"/>
  <c r="G1020" s="1"/>
  <c r="G1206" s="1"/>
  <c r="H276" s="1"/>
  <c r="H834" s="1"/>
  <c r="H1020" s="1"/>
  <c r="H1206" s="1"/>
  <c r="G1031" i="32"/>
  <c r="H196" s="1"/>
  <c r="F1099" i="9"/>
  <c r="F1285" s="1"/>
  <c r="G355" s="1"/>
  <c r="G913" s="1"/>
  <c r="G154" i="3"/>
  <c r="H58" s="1"/>
  <c r="H106" s="1"/>
  <c r="G963" i="9"/>
  <c r="G1149" s="1"/>
  <c r="H219" s="1"/>
  <c r="G1010" i="32"/>
  <c r="G1177" s="1"/>
  <c r="H342" s="1"/>
  <c r="G124" i="3"/>
  <c r="G148" s="1"/>
  <c r="H52" s="1"/>
  <c r="H100" s="1"/>
  <c r="F878" i="32"/>
  <c r="F1045" s="1"/>
  <c r="G210" s="1"/>
  <c r="G711" s="1"/>
  <c r="G878" s="1"/>
  <c r="G1114"/>
  <c r="H279" s="1"/>
  <c r="G144" i="3"/>
  <c r="H48" s="1"/>
  <c r="H96" s="1"/>
  <c r="G973" i="9"/>
  <c r="G1159" s="1"/>
  <c r="H229" s="1"/>
  <c r="H787" s="1"/>
  <c r="G1002"/>
  <c r="G1188" s="1"/>
  <c r="H258" s="1"/>
  <c r="H816" s="1"/>
  <c r="H1002" s="1"/>
  <c r="H1188" s="1"/>
  <c r="G98" i="31"/>
  <c r="G116" s="1"/>
  <c r="H44" s="1"/>
  <c r="G1010" i="9"/>
  <c r="G1196" s="1"/>
  <c r="H266" s="1"/>
  <c r="H824" s="1"/>
  <c r="H1010" s="1"/>
  <c r="F1075" i="32"/>
  <c r="G240" s="1"/>
  <c r="G741" s="1"/>
  <c r="G1171" i="9"/>
  <c r="H241" s="1"/>
  <c r="H799" s="1"/>
  <c r="G1204"/>
  <c r="H274" s="1"/>
  <c r="G1040"/>
  <c r="G1226" s="1"/>
  <c r="H296" s="1"/>
  <c r="H854" s="1"/>
  <c r="H1040" s="1"/>
  <c r="H1226" s="1"/>
  <c r="F1153" i="32"/>
  <c r="G318" s="1"/>
  <c r="I32" i="4"/>
  <c r="D42" i="23"/>
  <c r="F1047" i="9"/>
  <c r="F1233" s="1"/>
  <c r="G303" s="1"/>
  <c r="G1000"/>
  <c r="G1186" s="1"/>
  <c r="H256" s="1"/>
  <c r="H814" s="1"/>
  <c r="G141" i="3"/>
  <c r="H45" s="1"/>
  <c r="H93" s="1"/>
  <c r="H117" s="1"/>
  <c r="H141" s="1"/>
  <c r="G1029" i="32"/>
  <c r="H194" s="1"/>
  <c r="H695" s="1"/>
  <c r="H862" s="1"/>
  <c r="H1029" s="1"/>
  <c r="G1308" i="9"/>
  <c r="H378" s="1"/>
  <c r="H936" s="1"/>
  <c r="H1122" s="1"/>
  <c r="H1308" s="1"/>
  <c r="F1257"/>
  <c r="G327" s="1"/>
  <c r="G885" s="1"/>
  <c r="G1071" s="1"/>
  <c r="G1100" i="32"/>
  <c r="H265" s="1"/>
  <c r="H766" s="1"/>
  <c r="H933" s="1"/>
  <c r="H1100" s="1"/>
  <c r="G146" i="3"/>
  <c r="H50" s="1"/>
  <c r="H98" s="1"/>
  <c r="H122" s="1"/>
  <c r="H146" s="1"/>
  <c r="G1108" i="32"/>
  <c r="H273" s="1"/>
  <c r="H774" s="1"/>
  <c r="H941" s="1"/>
  <c r="H1108" s="1"/>
  <c r="G1125" i="9"/>
  <c r="G1311" s="1"/>
  <c r="H381" s="1"/>
  <c r="H939" s="1"/>
  <c r="G1164"/>
  <c r="H234" s="1"/>
  <c r="H928"/>
  <c r="H1114" s="1"/>
  <c r="G1101" i="32"/>
  <c r="H266" s="1"/>
  <c r="G1150"/>
  <c r="H315" s="1"/>
  <c r="H816" s="1"/>
  <c r="H983" s="1"/>
  <c r="H1150" s="1"/>
  <c r="F1187"/>
  <c r="G352" s="1"/>
  <c r="G853" s="1"/>
  <c r="G1182" i="9"/>
  <c r="H252" s="1"/>
  <c r="H810" s="1"/>
  <c r="F1201"/>
  <c r="G271" s="1"/>
  <c r="F978" i="32"/>
  <c r="F1145" s="1"/>
  <c r="G310" s="1"/>
  <c r="G811" s="1"/>
  <c r="G978" s="1"/>
  <c r="F1089"/>
  <c r="G254" s="1"/>
  <c r="G755" s="1"/>
  <c r="G1050"/>
  <c r="H215" s="1"/>
  <c r="G909"/>
  <c r="G1076" s="1"/>
  <c r="H241" s="1"/>
  <c r="G1164"/>
  <c r="H329" s="1"/>
  <c r="H830" s="1"/>
  <c r="F1076" i="9"/>
  <c r="F1262" s="1"/>
  <c r="G332" s="1"/>
  <c r="G890" s="1"/>
  <c r="F1092" i="32"/>
  <c r="G257" s="1"/>
  <c r="G758" s="1"/>
  <c r="F1165" i="9"/>
  <c r="G235" s="1"/>
  <c r="F971" i="32"/>
  <c r="F1138" s="1"/>
  <c r="G303" s="1"/>
  <c r="F1021" i="9"/>
  <c r="F1207" s="1"/>
  <c r="G277" s="1"/>
  <c r="F1003"/>
  <c r="F1189" s="1"/>
  <c r="G259" s="1"/>
  <c r="G817" s="1"/>
  <c r="E160" i="3"/>
  <c r="E13" s="1"/>
  <c r="E17" s="1"/>
  <c r="G1203" i="9"/>
  <c r="H273" s="1"/>
  <c r="H831" s="1"/>
  <c r="G882" i="32"/>
  <c r="G1049" s="1"/>
  <c r="H214" s="1"/>
  <c r="H715" s="1"/>
  <c r="H882" s="1"/>
  <c r="H1049" s="1"/>
  <c r="G1288" i="9"/>
  <c r="H358" s="1"/>
  <c r="H916" s="1"/>
  <c r="H1102" s="1"/>
  <c r="H1288" s="1"/>
  <c r="G1238"/>
  <c r="H308" s="1"/>
  <c r="G1246"/>
  <c r="H316" s="1"/>
  <c r="H874" s="1"/>
  <c r="G1065"/>
  <c r="G1251" s="1"/>
  <c r="H321" s="1"/>
  <c r="H879" s="1"/>
  <c r="G1309"/>
  <c r="H379" s="1"/>
  <c r="H937" s="1"/>
  <c r="H1123" s="1"/>
  <c r="H1309" s="1"/>
  <c r="F904" i="32"/>
  <c r="F1071" s="1"/>
  <c r="G236" s="1"/>
  <c r="G737" s="1"/>
  <c r="G904" s="1"/>
  <c r="F901"/>
  <c r="F1068" s="1"/>
  <c r="G233" s="1"/>
  <c r="G734" s="1"/>
  <c r="G901" s="1"/>
  <c r="G1068" s="1"/>
  <c r="H233" s="1"/>
  <c r="F1173" i="9"/>
  <c r="G243" s="1"/>
  <c r="G801" s="1"/>
  <c r="G118" i="31"/>
  <c r="H46" s="1"/>
  <c r="H82" s="1"/>
  <c r="F1281" i="9"/>
  <c r="G351" s="1"/>
  <c r="G909" s="1"/>
  <c r="G1095" s="1"/>
  <c r="F152" i="3"/>
  <c r="G56" s="1"/>
  <c r="G104" s="1"/>
  <c r="F1059" i="32"/>
  <c r="G224" s="1"/>
  <c r="F1286" i="9"/>
  <c r="G356" s="1"/>
  <c r="G914" s="1"/>
  <c r="G1100" s="1"/>
  <c r="F1105" i="32"/>
  <c r="G270" s="1"/>
  <c r="G771" s="1"/>
  <c r="G1272" i="9"/>
  <c r="H342" s="1"/>
  <c r="G963" i="32"/>
  <c r="G1130" s="1"/>
  <c r="H295" s="1"/>
  <c r="H796" s="1"/>
  <c r="G1173"/>
  <c r="H338" s="1"/>
  <c r="H839" s="1"/>
  <c r="G914"/>
  <c r="G1081" s="1"/>
  <c r="H246" s="1"/>
  <c r="H747" s="1"/>
  <c r="G1082" i="9"/>
  <c r="G1268" s="1"/>
  <c r="H338" s="1"/>
  <c r="H896" s="1"/>
  <c r="G1082" i="32"/>
  <c r="H247" s="1"/>
  <c r="H748" s="1"/>
  <c r="H915" s="1"/>
  <c r="H1082" s="1"/>
  <c r="G1124"/>
  <c r="H289" s="1"/>
  <c r="H790" s="1"/>
  <c r="H957" s="1"/>
  <c r="G151" i="3"/>
  <c r="H55" s="1"/>
  <c r="H103" s="1"/>
  <c r="H127" s="1"/>
  <c r="H151" s="1"/>
  <c r="G1184" i="32"/>
  <c r="H349" s="1"/>
  <c r="H850" s="1"/>
  <c r="G984" i="9"/>
  <c r="G1170" s="1"/>
  <c r="H240" s="1"/>
  <c r="H798" s="1"/>
  <c r="G1132"/>
  <c r="G1318" s="1"/>
  <c r="H388" s="1"/>
  <c r="H946" s="1"/>
  <c r="G1146"/>
  <c r="H216" s="1"/>
  <c r="G823" i="32"/>
  <c r="G720"/>
  <c r="G887" s="1"/>
  <c r="G851"/>
  <c r="G1018" s="1"/>
  <c r="G1185" s="1"/>
  <c r="H350" s="1"/>
  <c r="G696"/>
  <c r="G877" i="9"/>
  <c r="G1063" s="1"/>
  <c r="G1249" s="1"/>
  <c r="H319" s="1"/>
  <c r="H856"/>
  <c r="H1042" s="1"/>
  <c r="H1228" s="1"/>
  <c r="H844" i="32"/>
  <c r="H843" i="9"/>
  <c r="H933"/>
  <c r="H1119" s="1"/>
  <c r="H1305" s="1"/>
  <c r="H838"/>
  <c r="H1024" s="1"/>
  <c r="H1210" s="1"/>
  <c r="H739" i="32"/>
  <c r="H906" s="1"/>
  <c r="G842" i="9"/>
  <c r="G1028" s="1"/>
  <c r="G895"/>
  <c r="G1081" s="1"/>
  <c r="G1267" s="1"/>
  <c r="H337" s="1"/>
  <c r="G941"/>
  <c r="G1127" s="1"/>
  <c r="G1313" s="1"/>
  <c r="H383" s="1"/>
  <c r="H68" i="41"/>
  <c r="H84"/>
  <c r="G805" i="32"/>
  <c r="G972" s="1"/>
  <c r="G818" i="9"/>
  <c r="G78" i="31"/>
  <c r="H844" i="9"/>
  <c r="H1030" s="1"/>
  <c r="H917"/>
  <c r="H1103" s="1"/>
  <c r="H1289" s="1"/>
  <c r="H721" i="32"/>
  <c r="H888" s="1"/>
  <c r="H780"/>
  <c r="H814"/>
  <c r="H981" s="1"/>
  <c r="H1148" s="1"/>
  <c r="G784" i="9"/>
  <c r="G970" s="1"/>
  <c r="G1156" s="1"/>
  <c r="H226" s="1"/>
  <c r="G821"/>
  <c r="G806" i="32"/>
  <c r="G973" s="1"/>
  <c r="G1140" s="1"/>
  <c r="H305" s="1"/>
  <c r="G793" i="9"/>
  <c r="G781" i="32"/>
  <c r="G948" s="1"/>
  <c r="G1115" s="1"/>
  <c r="H280" s="1"/>
  <c r="H808" i="9"/>
  <c r="H994" s="1"/>
  <c r="H1180" s="1"/>
  <c r="H825"/>
  <c r="H1011" s="1"/>
  <c r="H719" i="32"/>
  <c r="H886" s="1"/>
  <c r="H1053" s="1"/>
  <c r="H832" i="9"/>
  <c r="H1018" s="1"/>
  <c r="H794" i="32"/>
  <c r="H961" s="1"/>
  <c r="H1128" s="1"/>
  <c r="H886" i="9"/>
  <c r="H1072" s="1"/>
  <c r="H1258" s="1"/>
  <c r="H723" i="32"/>
  <c r="H890" s="1"/>
  <c r="H789"/>
  <c r="H956"/>
  <c r="G819"/>
  <c r="H827" i="9"/>
  <c r="H1013" s="1"/>
  <c r="G1144"/>
  <c r="H214" s="1"/>
  <c r="G840" i="32"/>
  <c r="G79" i="31"/>
  <c r="G97" s="1"/>
  <c r="I25" i="44"/>
  <c r="I21"/>
  <c r="I39" s="1"/>
  <c r="I22"/>
  <c r="I23" s="1"/>
  <c r="G799" i="32"/>
  <c r="F1142"/>
  <c r="G307" s="1"/>
  <c r="F189"/>
  <c r="E1188"/>
  <c r="E14" s="1"/>
  <c r="E18" s="1"/>
  <c r="G865"/>
  <c r="G1032" s="1"/>
  <c r="H197" s="1"/>
  <c r="G769" i="9"/>
  <c r="G955" s="1"/>
  <c r="G1141" s="1"/>
  <c r="H211" s="1"/>
  <c r="G776" i="32"/>
  <c r="G943" s="1"/>
  <c r="G780" i="9"/>
  <c r="G966" s="1"/>
  <c r="G1152" s="1"/>
  <c r="H222" s="1"/>
  <c r="H849" i="32"/>
  <c r="H807" i="9"/>
  <c r="H993" s="1"/>
  <c r="H1179" s="1"/>
  <c r="H847" i="32"/>
  <c r="H1014" s="1"/>
  <c r="H1181" s="1"/>
  <c r="H815"/>
  <c r="H982" s="1"/>
  <c r="H1149" s="1"/>
  <c r="H759"/>
  <c r="H858" i="9"/>
  <c r="H1044" s="1"/>
  <c r="H1230" s="1"/>
  <c r="H783" i="32"/>
  <c r="H770"/>
  <c r="H937" s="1"/>
  <c r="H820"/>
  <c r="H987" s="1"/>
  <c r="H1154" s="1"/>
  <c r="H907" i="9"/>
  <c r="H1093" s="1"/>
  <c r="H1279" s="1"/>
  <c r="H735" i="32"/>
  <c r="H902" s="1"/>
  <c r="H1069" s="1"/>
  <c r="G825"/>
  <c r="G992" s="1"/>
  <c r="G841"/>
  <c r="G1008" s="1"/>
  <c r="G1175" s="1"/>
  <c r="H340" s="1"/>
  <c r="F1033"/>
  <c r="G198" s="1"/>
  <c r="H923" i="9"/>
  <c r="H1109" s="1"/>
  <c r="H1295" s="1"/>
  <c r="H827" i="32"/>
  <c r="H707"/>
  <c r="H874" s="1"/>
  <c r="H908" i="9"/>
  <c r="H1094" s="1"/>
  <c r="H1280" s="1"/>
  <c r="H749" i="32"/>
  <c r="H916" s="1"/>
  <c r="H1083" s="1"/>
  <c r="H947" i="9"/>
  <c r="H1133" s="1"/>
  <c r="H1319" s="1"/>
  <c r="H797" i="32"/>
  <c r="H964" s="1"/>
  <c r="H1131" s="1"/>
  <c r="H795" i="9"/>
  <c r="H981" s="1"/>
  <c r="H729" i="32"/>
  <c r="H896" s="1"/>
  <c r="H1063" s="1"/>
  <c r="H792" i="9"/>
  <c r="H978" s="1"/>
  <c r="H1164" s="1"/>
  <c r="H782"/>
  <c r="H807" i="32"/>
  <c r="H974" s="1"/>
  <c r="H1141" s="1"/>
  <c r="G819" i="9"/>
  <c r="G1005" s="1"/>
  <c r="G1191" s="1"/>
  <c r="H261" s="1"/>
  <c r="H852" i="32"/>
  <c r="H1019" s="1"/>
  <c r="G764"/>
  <c r="G931" s="1"/>
  <c r="G1098" s="1"/>
  <c r="H263" s="1"/>
  <c r="H888" i="9"/>
  <c r="H1074" s="1"/>
  <c r="H1260" s="1"/>
  <c r="H813" i="32"/>
  <c r="H980" s="1"/>
  <c r="H1147" s="1"/>
  <c r="H809"/>
  <c r="H976" s="1"/>
  <c r="H1143" s="1"/>
  <c r="G766" i="9"/>
  <c r="G871"/>
  <c r="G931"/>
  <c r="G1117" s="1"/>
  <c r="G1303" s="1"/>
  <c r="H373" s="1"/>
  <c r="G793" i="32"/>
  <c r="G960" s="1"/>
  <c r="G1127" s="1"/>
  <c r="H292" s="1"/>
  <c r="H906" i="9"/>
  <c r="H830"/>
  <c r="H922"/>
  <c r="G762" i="32"/>
  <c r="G929" s="1"/>
  <c r="G1096" s="1"/>
  <c r="H261" s="1"/>
  <c r="H915" i="9"/>
  <c r="G725" i="32"/>
  <c r="G892" s="1"/>
  <c r="G847" i="9"/>
  <c r="G1033" s="1"/>
  <c r="G85" i="31"/>
  <c r="G103" s="1"/>
  <c r="G121" s="1"/>
  <c r="H49" s="1"/>
  <c r="G817" i="32"/>
  <c r="G984" s="1"/>
  <c r="G880" i="9"/>
  <c r="G1066" s="1"/>
  <c r="G1252" s="1"/>
  <c r="H322" s="1"/>
  <c r="F133" i="3"/>
  <c r="F157" s="1"/>
  <c r="G61" s="1"/>
  <c r="F52" i="42"/>
  <c r="F78"/>
  <c r="G794" i="9"/>
  <c r="G980" s="1"/>
  <c r="G889"/>
  <c r="G921"/>
  <c r="G1107" s="1"/>
  <c r="G740" i="32"/>
  <c r="G907" s="1"/>
  <c r="H845" i="9"/>
  <c r="H878"/>
  <c r="H1064" s="1"/>
  <c r="H1250" s="1"/>
  <c r="G868"/>
  <c r="G1054" s="1"/>
  <c r="G805"/>
  <c r="H703" i="32"/>
  <c r="H870" s="1"/>
  <c r="H1037" s="1"/>
  <c r="E63" i="35"/>
  <c r="G881" i="9"/>
  <c r="G1067" s="1"/>
  <c r="G768" i="32"/>
  <c r="G935" s="1"/>
  <c r="G815" i="9"/>
  <c r="G1001"/>
  <c r="G1187" s="1"/>
  <c r="H257" s="1"/>
  <c r="G829"/>
  <c r="G1015" s="1"/>
  <c r="G1201" s="1"/>
  <c r="H271" s="1"/>
  <c r="G911"/>
  <c r="G1097" s="1"/>
  <c r="H932"/>
  <c r="G835" i="32"/>
  <c r="G1002" s="1"/>
  <c r="G1169" s="1"/>
  <c r="H334" s="1"/>
  <c r="G763"/>
  <c r="G930" s="1"/>
  <c r="H812"/>
  <c r="G108" i="3"/>
  <c r="G132" s="1"/>
  <c r="G156" s="1"/>
  <c r="H60" s="1"/>
  <c r="H760" i="32"/>
  <c r="H927" s="1"/>
  <c r="H1094" s="1"/>
  <c r="H925" i="9"/>
  <c r="H87" i="31"/>
  <c r="H811" i="9"/>
  <c r="H997" s="1"/>
  <c r="H1183" s="1"/>
  <c r="H694" i="32"/>
  <c r="G50" i="44"/>
  <c r="G53" s="1"/>
  <c r="G943" i="9"/>
  <c r="F123" i="3"/>
  <c r="F147" s="1"/>
  <c r="G51" s="1"/>
  <c r="G50" i="43"/>
  <c r="G53" s="1"/>
  <c r="G765" i="32"/>
  <c r="G932" s="1"/>
  <c r="G107" i="3"/>
  <c r="G131" s="1"/>
  <c r="G155" s="1"/>
  <c r="H59" s="1"/>
  <c r="G84" i="31"/>
  <c r="G102" s="1"/>
  <c r="G120" s="1"/>
  <c r="H48" s="1"/>
  <c r="F971" i="9"/>
  <c r="F1157" s="1"/>
  <c r="G227" s="1"/>
  <c r="G809"/>
  <c r="G995" s="1"/>
  <c r="G1181" s="1"/>
  <c r="H251" s="1"/>
  <c r="F860" i="32"/>
  <c r="F1027" s="1"/>
  <c r="G192" s="1"/>
  <c r="G912" i="9"/>
  <c r="G1098" s="1"/>
  <c r="G1284" s="1"/>
  <c r="H354" s="1"/>
  <c r="G770"/>
  <c r="G956" s="1"/>
  <c r="G1142" s="1"/>
  <c r="H212" s="1"/>
  <c r="G796"/>
  <c r="G982" s="1"/>
  <c r="G1168" s="1"/>
  <c r="H238" s="1"/>
  <c r="H704" i="32"/>
  <c r="H871"/>
  <c r="H1038" s="1"/>
  <c r="H927" i="9"/>
  <c r="H102" i="3"/>
  <c r="H126" s="1"/>
  <c r="H901" i="9"/>
  <c r="H1087" s="1"/>
  <c r="H1273" s="1"/>
  <c r="H773" i="32"/>
  <c r="H691"/>
  <c r="H858" s="1"/>
  <c r="H732"/>
  <c r="H899" s="1"/>
  <c r="H1066" s="1"/>
  <c r="H59" i="43"/>
  <c r="H62" s="1"/>
  <c r="H64" s="1"/>
  <c r="H37"/>
  <c r="H38" s="1"/>
  <c r="G757" i="32"/>
  <c r="G924" s="1"/>
  <c r="G1091" s="1"/>
  <c r="H256" s="1"/>
  <c r="G207" i="27"/>
  <c r="F1320"/>
  <c r="F14" s="1"/>
  <c r="F16" s="1"/>
  <c r="F765" i="9"/>
  <c r="F948" s="1"/>
  <c r="F12" s="1"/>
  <c r="F390"/>
  <c r="F9" s="1"/>
  <c r="F16" s="1"/>
  <c r="G792" i="32"/>
  <c r="G959" s="1"/>
  <c r="D49" i="42"/>
  <c r="G863" i="9"/>
  <c r="G1049" s="1"/>
  <c r="G701" i="32"/>
  <c r="G868" s="1"/>
  <c r="G823" i="9"/>
  <c r="G1009" s="1"/>
  <c r="E29" i="4"/>
  <c r="E20"/>
  <c r="G812" i="9"/>
  <c r="G998" s="1"/>
  <c r="G1184" s="1"/>
  <c r="H254" s="1"/>
  <c r="H788"/>
  <c r="H974" s="1"/>
  <c r="H1160" s="1"/>
  <c r="G718" i="32"/>
  <c r="G885" s="1"/>
  <c r="G1052" s="1"/>
  <c r="H217" s="1"/>
  <c r="H837"/>
  <c r="F53" i="43"/>
  <c r="H905" i="9"/>
  <c r="H837"/>
  <c r="H1023" s="1"/>
  <c r="H1209" s="1"/>
  <c r="G891"/>
  <c r="G1077" s="1"/>
  <c r="G1263" s="1"/>
  <c r="H333" s="1"/>
  <c r="H899"/>
  <c r="H1085" s="1"/>
  <c r="H1271" s="1"/>
  <c r="H867"/>
  <c r="H1053" s="1"/>
  <c r="H1239" s="1"/>
  <c r="H866"/>
  <c r="H935"/>
  <c r="F1026"/>
  <c r="F1212" s="1"/>
  <c r="G282" s="1"/>
  <c r="G1147"/>
  <c r="H217" s="1"/>
  <c r="F1111" i="32"/>
  <c r="G276" s="1"/>
  <c r="G738"/>
  <c r="G905" s="1"/>
  <c r="G1072" s="1"/>
  <c r="H237" s="1"/>
  <c r="G771" i="9"/>
  <c r="G957" s="1"/>
  <c r="G1143" s="1"/>
  <c r="H213" s="1"/>
  <c r="H49" i="44"/>
  <c r="H40"/>
  <c r="H41" s="1"/>
  <c r="H44" s="1"/>
  <c r="G709" i="32"/>
  <c r="G892" i="9"/>
  <c r="G1078" s="1"/>
  <c r="F1224"/>
  <c r="G294" s="1"/>
  <c r="G1168" i="32"/>
  <c r="H333" s="1"/>
  <c r="G1314" i="9"/>
  <c r="H384" s="1"/>
  <c r="G1227"/>
  <c r="H297" s="1"/>
  <c r="G142" i="3"/>
  <c r="H46" s="1"/>
  <c r="G895" i="32"/>
  <c r="G1062" s="1"/>
  <c r="H227" s="1"/>
  <c r="F1042"/>
  <c r="G207" s="1"/>
  <c r="G911"/>
  <c r="G1078" s="1"/>
  <c r="H243" s="1"/>
  <c r="G968"/>
  <c r="G1135" s="1"/>
  <c r="H300" s="1"/>
  <c r="F889"/>
  <c r="F1056" s="1"/>
  <c r="G221" s="1"/>
  <c r="H1312" i="9"/>
  <c r="G1131"/>
  <c r="G1317" s="1"/>
  <c r="H387" s="1"/>
  <c r="G972"/>
  <c r="G1158" s="1"/>
  <c r="H228" s="1"/>
  <c r="G976"/>
  <c r="G1162" s="1"/>
  <c r="H232" s="1"/>
  <c r="F1180" i="32"/>
  <c r="G345" s="1"/>
  <c r="G1276" i="9"/>
  <c r="H346" s="1"/>
  <c r="G1032"/>
  <c r="G1218" s="1"/>
  <c r="H288" s="1"/>
  <c r="G998" i="32"/>
  <c r="G1165" s="1"/>
  <c r="H330" s="1"/>
  <c r="F873"/>
  <c r="F1040" s="1"/>
  <c r="G205" s="1"/>
  <c r="G988"/>
  <c r="G1155" s="1"/>
  <c r="H320" s="1"/>
  <c r="G951"/>
  <c r="G1118" s="1"/>
  <c r="H283" s="1"/>
  <c r="G989" i="9"/>
  <c r="G1175" s="1"/>
  <c r="H245" s="1"/>
  <c r="I68" i="41"/>
  <c r="I84"/>
  <c r="G733" i="32"/>
  <c r="G900" s="1"/>
  <c r="G1067" s="1"/>
  <c r="H232" s="1"/>
  <c r="G767" i="9"/>
  <c r="G953" s="1"/>
  <c r="G187" i="34"/>
  <c r="F1186"/>
  <c r="F14" s="1"/>
  <c r="F16" s="1"/>
  <c r="G828" i="9"/>
  <c r="G1014" s="1"/>
  <c r="G828" i="32"/>
  <c r="G995" s="1"/>
  <c r="G1162" s="1"/>
  <c r="H327" s="1"/>
  <c r="G798"/>
  <c r="G965" s="1"/>
  <c r="G1132" s="1"/>
  <c r="H297" s="1"/>
  <c r="G822" i="9"/>
  <c r="G1008" s="1"/>
  <c r="G1194" s="1"/>
  <c r="H264" s="1"/>
  <c r="I25" i="43"/>
  <c r="I21"/>
  <c r="I39" s="1"/>
  <c r="F936" i="32"/>
  <c r="F1103" s="1"/>
  <c r="G268" s="1"/>
  <c r="G1015"/>
  <c r="G1182" s="1"/>
  <c r="H347" s="1"/>
  <c r="I92" i="42"/>
  <c r="G1025" i="9"/>
  <c r="G1211" s="1"/>
  <c r="H281" s="1"/>
  <c r="G832" i="32"/>
  <c r="G999"/>
  <c r="F53" i="44"/>
  <c r="G958" i="32"/>
  <c r="G1125" s="1"/>
  <c r="H290" s="1"/>
  <c r="G977" i="9"/>
  <c r="G1163" s="1"/>
  <c r="H233" s="1"/>
  <c r="G884" i="32"/>
  <c r="G1051" s="1"/>
  <c r="H216" s="1"/>
  <c r="G954"/>
  <c r="G1121" s="1"/>
  <c r="H286" s="1"/>
  <c r="G1012"/>
  <c r="G1179" s="1"/>
  <c r="H344" s="1"/>
  <c r="G975" i="9"/>
  <c r="G1161" s="1"/>
  <c r="H231" s="1"/>
  <c r="G928" i="32"/>
  <c r="G1095" s="1"/>
  <c r="H260" s="1"/>
  <c r="G841" i="9"/>
  <c r="G1027" s="1"/>
  <c r="G1213" s="1"/>
  <c r="H283" s="1"/>
  <c r="G802"/>
  <c r="G920"/>
  <c r="H785" i="32"/>
  <c r="H952" s="1"/>
  <c r="H1119" s="1"/>
  <c r="H804" i="9"/>
  <c r="H990" s="1"/>
  <c r="H1176" s="1"/>
  <c r="G93" i="42"/>
  <c r="G96" s="1"/>
  <c r="G98" s="1"/>
  <c r="G64"/>
  <c r="G66" s="1"/>
  <c r="F27" i="4"/>
  <c r="F105" i="41"/>
  <c r="G887" i="9"/>
  <c r="G1073" s="1"/>
  <c r="G1259" s="1"/>
  <c r="H329" s="1"/>
  <c r="G730" i="32"/>
  <c r="G897" s="1"/>
  <c r="G1064" s="1"/>
  <c r="H229" s="1"/>
  <c r="G70" i="35"/>
  <c r="G752" i="32"/>
  <c r="G876" i="9"/>
  <c r="G1062" s="1"/>
  <c r="G1248" s="1"/>
  <c r="H318" s="1"/>
  <c r="G824" i="32"/>
  <c r="G991" s="1"/>
  <c r="G1158" s="1"/>
  <c r="H323" s="1"/>
  <c r="E72" i="41"/>
  <c r="E76" s="1"/>
  <c r="H826" i="32"/>
  <c r="H993" s="1"/>
  <c r="H1160" s="1"/>
  <c r="H97" i="3"/>
  <c r="H121" s="1"/>
  <c r="H145" s="1"/>
  <c r="G848" i="9"/>
  <c r="G1034" s="1"/>
  <c r="G1220" s="1"/>
  <c r="H290" s="1"/>
  <c r="G753" i="32"/>
  <c r="G797" i="9"/>
  <c r="G983" s="1"/>
  <c r="G1169" s="1"/>
  <c r="H239" s="1"/>
  <c r="H822" i="32"/>
  <c r="H989" s="1"/>
  <c r="H1156" s="1"/>
  <c r="H820" i="9"/>
  <c r="H1006" s="1"/>
  <c r="H1192" s="1"/>
  <c r="G919"/>
  <c r="G1105" s="1"/>
  <c r="H788" i="32"/>
  <c r="H955" s="1"/>
  <c r="H1122" s="1"/>
  <c r="H101" i="3"/>
  <c r="H125" s="1"/>
  <c r="H149" s="1"/>
  <c r="H105"/>
  <c r="H924" i="9"/>
  <c r="H1110" s="1"/>
  <c r="H1296" s="1"/>
  <c r="G71" i="4"/>
  <c r="F959" i="9"/>
  <c r="F1145" s="1"/>
  <c r="G215" s="1"/>
  <c r="F1061"/>
  <c r="F1247" s="1"/>
  <c r="G317" s="1"/>
  <c r="G40" i="42"/>
  <c r="G71"/>
  <c r="G72" s="1"/>
  <c r="F17" i="35"/>
  <c r="F38"/>
  <c r="F50"/>
  <c r="F51" s="1"/>
  <c r="F1096" i="9"/>
  <c r="F1282" s="1"/>
  <c r="G352" s="1"/>
  <c r="F967"/>
  <c r="F1153" s="1"/>
  <c r="G223" s="1"/>
  <c r="G1236"/>
  <c r="H306" s="1"/>
  <c r="F999"/>
  <c r="F1185" s="1"/>
  <c r="G255" s="1"/>
  <c r="F74" i="4"/>
  <c r="G795" i="32"/>
  <c r="G883" i="9"/>
  <c r="G1069"/>
  <c r="G1255" s="1"/>
  <c r="H325" s="1"/>
  <c r="G746" i="32"/>
  <c r="G913" s="1"/>
  <c r="G1080" s="1"/>
  <c r="H245" s="1"/>
  <c r="E29" i="35"/>
  <c r="F859" i="32"/>
  <c r="F1026" s="1"/>
  <c r="G191" s="1"/>
  <c r="F38" i="4"/>
  <c r="F18"/>
  <c r="F51"/>
  <c r="F52" s="1"/>
  <c r="F53" i="20"/>
  <c r="F54" s="1"/>
  <c r="F53" i="41"/>
  <c r="F54" s="1"/>
  <c r="F44" i="20"/>
  <c r="F44" i="41"/>
  <c r="F891" i="32"/>
  <c r="F1058" s="1"/>
  <c r="G223" s="1"/>
  <c r="G877"/>
  <c r="G1044" s="1"/>
  <c r="H209" s="1"/>
  <c r="G1302" i="9"/>
  <c r="H372" s="1"/>
  <c r="G945" i="32"/>
  <c r="G1112" s="1"/>
  <c r="H277" s="1"/>
  <c r="G1048" i="9"/>
  <c r="G1234" s="1"/>
  <c r="H304" s="1"/>
  <c r="G1059"/>
  <c r="G1245" s="1"/>
  <c r="H315" s="1"/>
  <c r="F143" i="3"/>
  <c r="G47" s="1"/>
  <c r="G1003" i="32"/>
  <c r="G1170" s="1"/>
  <c r="H335" s="1"/>
  <c r="H1112" i="9"/>
  <c r="H1298" s="1"/>
  <c r="G869" i="32"/>
  <c r="G1036" s="1"/>
  <c r="H201" s="1"/>
  <c r="G1270" i="9"/>
  <c r="H340" s="1"/>
  <c r="F1055"/>
  <c r="F1241" s="1"/>
  <c r="G311" s="1"/>
  <c r="G954"/>
  <c r="G1140" s="1"/>
  <c r="H210" s="1"/>
  <c r="G1124"/>
  <c r="G1310" s="1"/>
  <c r="H380" s="1"/>
  <c r="G101" i="31"/>
  <c r="G119" s="1"/>
  <c r="H47" s="1"/>
  <c r="G1046" i="9"/>
  <c r="G1232" s="1"/>
  <c r="H302" s="1"/>
  <c r="G893" i="32"/>
  <c r="G1060" s="1"/>
  <c r="H225" s="1"/>
  <c r="F113" i="31"/>
  <c r="G41" s="1"/>
  <c r="G1079" i="9"/>
  <c r="G1265" s="1"/>
  <c r="H335" s="1"/>
  <c r="G1290"/>
  <c r="H360" s="1"/>
  <c r="G1005" i="32"/>
  <c r="G1172" s="1"/>
  <c r="H337" s="1"/>
  <c r="F1130" i="9"/>
  <c r="F1316" s="1"/>
  <c r="G386" s="1"/>
  <c r="G1045"/>
  <c r="G1231" s="1"/>
  <c r="H301" s="1"/>
  <c r="G986"/>
  <c r="G1172" s="1"/>
  <c r="H242" s="1"/>
  <c r="G977" i="32"/>
  <c r="G1144" s="1"/>
  <c r="H309" s="1"/>
  <c r="G1150" i="9"/>
  <c r="H220" s="1"/>
  <c r="G118" i="29"/>
  <c r="G137" s="1"/>
  <c r="G13" s="1"/>
  <c r="G65"/>
  <c r="G9" s="1"/>
  <c r="G16" s="1"/>
  <c r="G786" i="32"/>
  <c r="G953" s="1"/>
  <c r="G1120" s="1"/>
  <c r="H285" s="1"/>
  <c r="F110" i="33"/>
  <c r="E63" i="4"/>
  <c r="E54"/>
  <c r="G743" i="32"/>
  <c r="G910" s="1"/>
  <c r="G882" i="9"/>
  <c r="G1068" s="1"/>
  <c r="G1254" s="1"/>
  <c r="H324" s="1"/>
  <c r="H25" i="42"/>
  <c r="H21"/>
  <c r="H41" s="1"/>
  <c r="H73" s="1"/>
  <c r="F40" i="4"/>
  <c r="F1019" i="9"/>
  <c r="F1205" s="1"/>
  <c r="G275" s="1"/>
  <c r="F879" i="32"/>
  <c r="F1046" s="1"/>
  <c r="G211" s="1"/>
  <c r="G782"/>
  <c r="G949" s="1"/>
  <c r="G1116" s="1"/>
  <c r="H281" s="1"/>
  <c r="G1012" i="9"/>
  <c r="G1198" s="1"/>
  <c r="H268" s="1"/>
  <c r="G912" i="32"/>
  <c r="G1079" s="1"/>
  <c r="H244" s="1"/>
  <c r="G1039" i="9"/>
  <c r="G1225" s="1"/>
  <c r="H295" s="1"/>
  <c r="G903" i="32"/>
  <c r="G1070" s="1"/>
  <c r="H235" s="1"/>
  <c r="G918"/>
  <c r="G1085" s="1"/>
  <c r="H250" s="1"/>
  <c r="G872"/>
  <c r="G1039" s="1"/>
  <c r="H204" s="1"/>
  <c r="F38" i="31"/>
  <c r="E125"/>
  <c r="E14" s="1"/>
  <c r="E18" s="1"/>
  <c r="G902" i="9"/>
  <c r="G872"/>
  <c r="G1058" s="1"/>
  <c r="G754" i="32"/>
  <c r="G921" s="1"/>
  <c r="G1088" s="1"/>
  <c r="H253" s="1"/>
  <c r="F64" i="3"/>
  <c r="F9" s="1"/>
  <c r="F91"/>
  <c r="F112" s="1"/>
  <c r="F11" s="1"/>
  <c r="H992" i="9" l="1"/>
  <c r="H1178" s="1"/>
  <c r="H1089"/>
  <c r="H1275" s="1"/>
  <c r="H779" i="32"/>
  <c r="H946" s="1"/>
  <c r="H80" i="31"/>
  <c r="H98" s="1"/>
  <c r="H116" s="1"/>
  <c r="H929" i="9"/>
  <c r="H1115" s="1"/>
  <c r="G986" i="32"/>
  <c r="G1153" s="1"/>
  <c r="H318" s="1"/>
  <c r="H819" s="1"/>
  <c r="H130" i="3"/>
  <c r="H154" s="1"/>
  <c r="H105" i="31"/>
  <c r="H123" s="1"/>
  <c r="H1080" i="9"/>
  <c r="H1266" s="1"/>
  <c r="H1052"/>
  <c r="H1238" s="1"/>
  <c r="G1090" i="32"/>
  <c r="H255" s="1"/>
  <c r="H756" s="1"/>
  <c r="H923" s="1"/>
  <c r="H1090" s="1"/>
  <c r="I22" i="43"/>
  <c r="I23" s="1"/>
  <c r="G876" i="32"/>
  <c r="G1043" s="1"/>
  <c r="H208" s="1"/>
  <c r="H709" s="1"/>
  <c r="H774" i="9"/>
  <c r="H960" s="1"/>
  <c r="H1146" s="1"/>
  <c r="G134" i="3"/>
  <c r="G158" s="1"/>
  <c r="H62" s="1"/>
  <c r="G857" i="9"/>
  <c r="G1043" s="1"/>
  <c r="G1229" s="1"/>
  <c r="H299" s="1"/>
  <c r="H772" i="32"/>
  <c r="H939" s="1"/>
  <c r="H1106" s="1"/>
  <c r="G804"/>
  <c r="G971" s="1"/>
  <c r="G1138" s="1"/>
  <c r="H303" s="1"/>
  <c r="H1025"/>
  <c r="G1083" i="9"/>
  <c r="G1269" s="1"/>
  <c r="H339" s="1"/>
  <c r="G1235"/>
  <c r="H305" s="1"/>
  <c r="H863" s="1"/>
  <c r="H767" i="32"/>
  <c r="H934" s="1"/>
  <c r="H1101" s="1"/>
  <c r="H997"/>
  <c r="H1164" s="1"/>
  <c r="G1253" i="9"/>
  <c r="H323" s="1"/>
  <c r="H1057" i="32"/>
  <c r="G1166"/>
  <c r="H331" s="1"/>
  <c r="H832" s="1"/>
  <c r="H999" s="1"/>
  <c r="G1166" i="9"/>
  <c r="H236" s="1"/>
  <c r="H794" s="1"/>
  <c r="H843" i="32"/>
  <c r="G1283" i="9"/>
  <c r="H353" s="1"/>
  <c r="H1017"/>
  <c r="H1203" s="1"/>
  <c r="H124" i="3"/>
  <c r="H148" s="1"/>
  <c r="G1219" i="9"/>
  <c r="H289" s="1"/>
  <c r="H847" s="1"/>
  <c r="H947" i="32"/>
  <c r="H1114" s="1"/>
  <c r="G861" i="9"/>
  <c r="G1047" s="1"/>
  <c r="G1233" s="1"/>
  <c r="H303" s="1"/>
  <c r="G1076"/>
  <c r="G1262" s="1"/>
  <c r="H332" s="1"/>
  <c r="H890" s="1"/>
  <c r="H1076" s="1"/>
  <c r="H1262" s="1"/>
  <c r="H742" i="32"/>
  <c r="H909" s="1"/>
  <c r="H1076" s="1"/>
  <c r="H777" i="9"/>
  <c r="H963" s="1"/>
  <c r="H1149" s="1"/>
  <c r="H700" i="32"/>
  <c r="H867" s="1"/>
  <c r="H1034" s="1"/>
  <c r="G835" i="9"/>
  <c r="G1021" s="1"/>
  <c r="G1207" s="1"/>
  <c r="H277" s="1"/>
  <c r="H835" s="1"/>
  <c r="H1021" s="1"/>
  <c r="H110" i="3"/>
  <c r="H134" s="1"/>
  <c r="H158" s="1"/>
  <c r="H818" i="32"/>
  <c r="H985" s="1"/>
  <c r="H1152" s="1"/>
  <c r="G938"/>
  <c r="G1105" s="1"/>
  <c r="H270" s="1"/>
  <c r="H771" s="1"/>
  <c r="G1020"/>
  <c r="G1187" s="1"/>
  <c r="H352" s="1"/>
  <c r="H853" s="1"/>
  <c r="H1070" i="9"/>
  <c r="H1256" s="1"/>
  <c r="H914" i="32"/>
  <c r="H1081" s="1"/>
  <c r="G1159"/>
  <c r="H324" s="1"/>
  <c r="H825" s="1"/>
  <c r="G1139" i="9"/>
  <c r="H209" s="1"/>
  <c r="H767" s="1"/>
  <c r="H1065"/>
  <c r="H1251" s="1"/>
  <c r="G1195"/>
  <c r="H265" s="1"/>
  <c r="H823" s="1"/>
  <c r="H697" i="32"/>
  <c r="H864" s="1"/>
  <c r="H1031" s="1"/>
  <c r="H150" i="3"/>
  <c r="G1134" i="32"/>
  <c r="H299" s="1"/>
  <c r="H800" s="1"/>
  <c r="G1240" i="9"/>
  <c r="H310" s="1"/>
  <c r="G922" i="32"/>
  <c r="G1089" s="1"/>
  <c r="H254" s="1"/>
  <c r="H1216" i="9"/>
  <c r="I20" i="20"/>
  <c r="I23" s="1"/>
  <c r="I27" s="1"/>
  <c r="D32" i="4"/>
  <c r="I35"/>
  <c r="G965" i="9"/>
  <c r="G1151" s="1"/>
  <c r="H221" s="1"/>
  <c r="H779" s="1"/>
  <c r="H965" s="1"/>
  <c r="G1061" i="32"/>
  <c r="H226" s="1"/>
  <c r="G1059"/>
  <c r="H224" s="1"/>
  <c r="H725" s="1"/>
  <c r="H892" s="1"/>
  <c r="H1059" s="1"/>
  <c r="G1099"/>
  <c r="H264" s="1"/>
  <c r="G1097"/>
  <c r="H262" s="1"/>
  <c r="H763" s="1"/>
  <c r="H1055"/>
  <c r="H1300" i="9"/>
  <c r="G962" i="32"/>
  <c r="G1129" s="1"/>
  <c r="H294" s="1"/>
  <c r="H795" s="1"/>
  <c r="H962" s="1"/>
  <c r="G1291" i="9"/>
  <c r="H361" s="1"/>
  <c r="H919" s="1"/>
  <c r="H1105" s="1"/>
  <c r="H1291" s="1"/>
  <c r="G1155"/>
  <c r="H225" s="1"/>
  <c r="H783" s="1"/>
  <c r="G1102" i="32"/>
  <c r="H267" s="1"/>
  <c r="G908"/>
  <c r="G1075" s="1"/>
  <c r="H240" s="1"/>
  <c r="H898"/>
  <c r="H1065" s="1"/>
  <c r="H1104"/>
  <c r="H120" i="3"/>
  <c r="H144" s="1"/>
  <c r="G96" i="31"/>
  <c r="G114" s="1"/>
  <c r="H42" s="1"/>
  <c r="G987" i="9"/>
  <c r="G1173" s="1"/>
  <c r="H243" s="1"/>
  <c r="H801" s="1"/>
  <c r="H987" s="1"/>
  <c r="H1173" s="1"/>
  <c r="G1054" i="32"/>
  <c r="H219" s="1"/>
  <c r="H720" s="1"/>
  <c r="H887" s="1"/>
  <c r="G1151"/>
  <c r="H316" s="1"/>
  <c r="H1197" i="9"/>
  <c r="G117" i="31"/>
  <c r="H45" s="1"/>
  <c r="H81" s="1"/>
  <c r="H99" s="1"/>
  <c r="H117" s="1"/>
  <c r="H1113" i="9"/>
  <c r="H1299" s="1"/>
  <c r="G1129"/>
  <c r="G1315" s="1"/>
  <c r="H385" s="1"/>
  <c r="H1017" i="32"/>
  <c r="H1184" s="1"/>
  <c r="H900" i="9"/>
  <c r="H1086" s="1"/>
  <c r="H1272" s="1"/>
  <c r="H851"/>
  <c r="H1037" s="1"/>
  <c r="H1223" s="1"/>
  <c r="H1101"/>
  <c r="H1287" s="1"/>
  <c r="H716" i="32"/>
  <c r="H883" s="1"/>
  <c r="H1050" s="1"/>
  <c r="G1286" i="9"/>
  <c r="H356" s="1"/>
  <c r="H914" s="1"/>
  <c r="G1208"/>
  <c r="H278" s="1"/>
  <c r="G1133" i="32"/>
  <c r="H298" s="1"/>
  <c r="H799" s="1"/>
  <c r="G1035"/>
  <c r="H200" s="1"/>
  <c r="H701" s="1"/>
  <c r="F951" i="9"/>
  <c r="G1293"/>
  <c r="H363" s="1"/>
  <c r="H1041" i="32"/>
  <c r="G966"/>
  <c r="G1007"/>
  <c r="G1174" s="1"/>
  <c r="H339" s="1"/>
  <c r="H840" s="1"/>
  <c r="H1007" s="1"/>
  <c r="H1123"/>
  <c r="H1073"/>
  <c r="H836"/>
  <c r="H1003" s="1"/>
  <c r="H1170" s="1"/>
  <c r="G706"/>
  <c r="G873" s="1"/>
  <c r="G1040" s="1"/>
  <c r="H205" s="1"/>
  <c r="H912" i="9"/>
  <c r="H877"/>
  <c r="H1063" s="1"/>
  <c r="H841"/>
  <c r="H1027" s="1"/>
  <c r="H718" i="32"/>
  <c r="H885" s="1"/>
  <c r="H938" i="9"/>
  <c r="H801" i="32"/>
  <c r="H968" s="1"/>
  <c r="H1135" s="1"/>
  <c r="H815" i="9"/>
  <c r="H1001"/>
  <c r="H1187" s="1"/>
  <c r="H762" i="32"/>
  <c r="H929" s="1"/>
  <c r="H1096" s="1"/>
  <c r="G910" i="9"/>
  <c r="H893"/>
  <c r="H1079" s="1"/>
  <c r="H730" i="32"/>
  <c r="H897" s="1"/>
  <c r="H798"/>
  <c r="H965" s="1"/>
  <c r="H1132" s="1"/>
  <c r="H803" i="9"/>
  <c r="H989" s="1"/>
  <c r="H1175" s="1"/>
  <c r="H728" i="32"/>
  <c r="H895" s="1"/>
  <c r="H1062" s="1"/>
  <c r="H702"/>
  <c r="G712"/>
  <c r="H810"/>
  <c r="H977" s="1"/>
  <c r="H1144" s="1"/>
  <c r="H726"/>
  <c r="H893" s="1"/>
  <c r="G692"/>
  <c r="G859" s="1"/>
  <c r="H848" i="9"/>
  <c r="H1034" s="1"/>
  <c r="H1220" s="1"/>
  <c r="H876"/>
  <c r="H1062" s="1"/>
  <c r="H887"/>
  <c r="H1073" s="1"/>
  <c r="H1259" s="1"/>
  <c r="H734" i="32"/>
  <c r="H901" s="1"/>
  <c r="H791" i="9"/>
  <c r="H848" i="32"/>
  <c r="H1015" s="1"/>
  <c r="H1182" s="1"/>
  <c r="H821"/>
  <c r="H988" s="1"/>
  <c r="H1155" s="1"/>
  <c r="H50" i="44"/>
  <c r="G840" i="9"/>
  <c r="G1026" s="1"/>
  <c r="G1212" s="1"/>
  <c r="H282" s="1"/>
  <c r="H812"/>
  <c r="H998" s="1"/>
  <c r="G109" i="3"/>
  <c r="G133" s="1"/>
  <c r="G157" s="1"/>
  <c r="H61" s="1"/>
  <c r="H931" i="9"/>
  <c r="H1117" s="1"/>
  <c r="H1303" s="1"/>
  <c r="H764" i="32"/>
  <c r="H931" s="1"/>
  <c r="H841"/>
  <c r="H1008" s="1"/>
  <c r="H1175" s="1"/>
  <c r="H941" i="9"/>
  <c r="H1127" s="1"/>
  <c r="H1313" s="1"/>
  <c r="H860"/>
  <c r="H880"/>
  <c r="H1066" s="1"/>
  <c r="H1252" s="1"/>
  <c r="H784"/>
  <c r="H970" s="1"/>
  <c r="H754" i="32"/>
  <c r="H921" s="1"/>
  <c r="H1088" s="1"/>
  <c r="H83" i="31"/>
  <c r="H771" i="9"/>
  <c r="H957" s="1"/>
  <c r="H1143" s="1"/>
  <c r="H895"/>
  <c r="H1081" s="1"/>
  <c r="H853"/>
  <c r="H846"/>
  <c r="H1032" s="1"/>
  <c r="H1218" s="1"/>
  <c r="H796"/>
  <c r="H982" s="1"/>
  <c r="H1168" s="1"/>
  <c r="H819"/>
  <c r="H1005" s="1"/>
  <c r="H781" i="32"/>
  <c r="H948" s="1"/>
  <c r="H1115" s="1"/>
  <c r="H745"/>
  <c r="H786"/>
  <c r="H953" s="1"/>
  <c r="H1120" s="1"/>
  <c r="H838"/>
  <c r="H1005" s="1"/>
  <c r="H1172" s="1"/>
  <c r="H883" i="9"/>
  <c r="H1069" s="1"/>
  <c r="H1255" s="1"/>
  <c r="G773"/>
  <c r="G959" s="1"/>
  <c r="G1145" s="1"/>
  <c r="H215" s="1"/>
  <c r="H789"/>
  <c r="H738" i="32"/>
  <c r="H905" s="1"/>
  <c r="H1072" s="1"/>
  <c r="H842"/>
  <c r="H1009" s="1"/>
  <c r="H1176" s="1"/>
  <c r="H765"/>
  <c r="H108" i="3"/>
  <c r="H132" s="1"/>
  <c r="H156" s="1"/>
  <c r="H85" i="31"/>
  <c r="H103" s="1"/>
  <c r="H121" s="1"/>
  <c r="H851" i="32"/>
  <c r="H1018" s="1"/>
  <c r="H751"/>
  <c r="H791"/>
  <c r="H958" s="1"/>
  <c r="H1125" s="1"/>
  <c r="H84" i="31"/>
  <c r="H102"/>
  <c r="H120" s="1"/>
  <c r="H859" i="9"/>
  <c r="H1045" s="1"/>
  <c r="H1231" s="1"/>
  <c r="G944"/>
  <c r="G1130" s="1"/>
  <c r="H769"/>
  <c r="H955" s="1"/>
  <c r="H1141" s="1"/>
  <c r="H845" i="32"/>
  <c r="H1012" s="1"/>
  <c r="H1179" s="1"/>
  <c r="H822" i="9"/>
  <c r="H1008" s="1"/>
  <c r="H1194" s="1"/>
  <c r="H809"/>
  <c r="H835" i="32"/>
  <c r="H1002" s="1"/>
  <c r="H1169" s="1"/>
  <c r="H829" i="9"/>
  <c r="H1015" s="1"/>
  <c r="H698" i="32"/>
  <c r="H865" s="1"/>
  <c r="H800" i="9"/>
  <c r="H986" s="1"/>
  <c r="H891"/>
  <c r="H1077" s="1"/>
  <c r="H1263" s="1"/>
  <c r="H921"/>
  <c r="H746" i="32"/>
  <c r="H913" s="1"/>
  <c r="H1080" s="1"/>
  <c r="G722"/>
  <c r="G889" s="1"/>
  <c r="H107" i="3"/>
  <c r="H131" s="1"/>
  <c r="H155" s="1"/>
  <c r="H761" i="32"/>
  <c r="H928"/>
  <c r="H1095" s="1"/>
  <c r="H797" i="9"/>
  <c r="H983" s="1"/>
  <c r="H1169" s="1"/>
  <c r="H790"/>
  <c r="H976" s="1"/>
  <c r="H865"/>
  <c r="H780"/>
  <c r="H966" s="1"/>
  <c r="H1152" s="1"/>
  <c r="H806" i="32"/>
  <c r="H973" s="1"/>
  <c r="H1140" s="1"/>
  <c r="G833" i="9"/>
  <c r="G813"/>
  <c r="G999" s="1"/>
  <c r="G1185" s="1"/>
  <c r="H255" s="1"/>
  <c r="H831" i="32"/>
  <c r="H998" s="1"/>
  <c r="H1165" s="1"/>
  <c r="H757"/>
  <c r="H924" s="1"/>
  <c r="H1091" s="1"/>
  <c r="H817"/>
  <c r="H826" i="9"/>
  <c r="H1012" s="1"/>
  <c r="H782" i="32"/>
  <c r="H949" s="1"/>
  <c r="H824"/>
  <c r="H991" s="1"/>
  <c r="H1158" s="1"/>
  <c r="H787"/>
  <c r="H733"/>
  <c r="H900" s="1"/>
  <c r="H710"/>
  <c r="H877" s="1"/>
  <c r="H1044" s="1"/>
  <c r="H828"/>
  <c r="H995" s="1"/>
  <c r="H1162" s="1"/>
  <c r="H786" i="9"/>
  <c r="H972" s="1"/>
  <c r="H1158" s="1"/>
  <c r="H770"/>
  <c r="H956" s="1"/>
  <c r="H1142" s="1"/>
  <c r="G99" i="3"/>
  <c r="G123" s="1"/>
  <c r="G147" s="1"/>
  <c r="H51" s="1"/>
  <c r="H882" i="9"/>
  <c r="H1068" s="1"/>
  <c r="H1254" s="1"/>
  <c r="H834" i="32"/>
  <c r="H1001" s="1"/>
  <c r="H1168" s="1"/>
  <c r="H839" i="9"/>
  <c r="G1281"/>
  <c r="H351" s="1"/>
  <c r="H22" i="42"/>
  <c r="H23" s="1"/>
  <c r="I18" s="1"/>
  <c r="F71" i="35"/>
  <c r="F74" s="1"/>
  <c r="F41"/>
  <c r="H862" i="9"/>
  <c r="H1048" s="1"/>
  <c r="H1234" s="1"/>
  <c r="H717" i="32"/>
  <c r="H884" s="1"/>
  <c r="H1051" s="1"/>
  <c r="G1214" i="9"/>
  <c r="H284" s="1"/>
  <c r="H1125"/>
  <c r="H1311" s="1"/>
  <c r="H116" i="3"/>
  <c r="H140" s="1"/>
  <c r="I59" i="43"/>
  <c r="I62" s="1"/>
  <c r="I64" s="1"/>
  <c r="I37"/>
  <c r="I38" s="1"/>
  <c r="G1200" i="9"/>
  <c r="H270" s="1"/>
  <c r="G846" i="32"/>
  <c r="G1013" s="1"/>
  <c r="G1180" s="1"/>
  <c r="H345" s="1"/>
  <c r="G708"/>
  <c r="G875"/>
  <c r="G1264" i="9"/>
  <c r="H334" s="1"/>
  <c r="G777" i="32"/>
  <c r="G944" s="1"/>
  <c r="H1121" i="9"/>
  <c r="H1307" s="1"/>
  <c r="H1091"/>
  <c r="H1277" s="1"/>
  <c r="H1004" i="32"/>
  <c r="H1171" s="1"/>
  <c r="E37" i="20"/>
  <c r="F1137" i="9"/>
  <c r="H940" i="32"/>
  <c r="H1107" s="1"/>
  <c r="H963"/>
  <c r="H1130" s="1"/>
  <c r="H1047"/>
  <c r="H1111" i="9"/>
  <c r="H1297" s="1"/>
  <c r="G991"/>
  <c r="G1177" s="1"/>
  <c r="H247" s="1"/>
  <c r="H1031"/>
  <c r="H1217" s="1"/>
  <c r="G1075"/>
  <c r="G1261" s="1"/>
  <c r="H331" s="1"/>
  <c r="F55" i="42"/>
  <c r="H1108" i="9"/>
  <c r="H1294" s="1"/>
  <c r="H1092"/>
  <c r="H1278" s="1"/>
  <c r="G952"/>
  <c r="G1138" s="1"/>
  <c r="H208" s="1"/>
  <c r="F353" i="32"/>
  <c r="F9" s="1"/>
  <c r="F16" s="1"/>
  <c r="F690"/>
  <c r="F854" s="1"/>
  <c r="F12" s="1"/>
  <c r="G1004" i="9"/>
  <c r="G1190" s="1"/>
  <c r="H260" s="1"/>
  <c r="G693" i="32"/>
  <c r="G860" s="1"/>
  <c r="H705"/>
  <c r="G724"/>
  <c r="G891" s="1"/>
  <c r="G1058" s="1"/>
  <c r="H223" s="1"/>
  <c r="G875" i="9"/>
  <c r="G1061" s="1"/>
  <c r="G1247" s="1"/>
  <c r="H317" s="1"/>
  <c r="H864"/>
  <c r="H1050" s="1"/>
  <c r="H1236" s="1"/>
  <c r="F61" i="4"/>
  <c r="F29" i="41"/>
  <c r="F31" s="1"/>
  <c r="F35" s="1"/>
  <c r="F70"/>
  <c r="F72" s="1"/>
  <c r="F29" i="20"/>
  <c r="F31" s="1"/>
  <c r="F35" s="1"/>
  <c r="G1045" i="32"/>
  <c r="H210" s="1"/>
  <c r="H868" i="9"/>
  <c r="H1054" s="1"/>
  <c r="H1240" s="1"/>
  <c r="G115" i="31"/>
  <c r="H43" s="1"/>
  <c r="H768" i="9"/>
  <c r="H954" s="1"/>
  <c r="H1011" i="32"/>
  <c r="H1178" s="1"/>
  <c r="F74" i="31"/>
  <c r="F89" s="1"/>
  <c r="F12" s="1"/>
  <c r="F53"/>
  <c r="F9" s="1"/>
  <c r="F16" s="1"/>
  <c r="H904" i="9"/>
  <c r="H1090" s="1"/>
  <c r="E21" i="4"/>
  <c r="E24" s="1"/>
  <c r="F84" i="42"/>
  <c r="H945" i="9"/>
  <c r="H1131" s="1"/>
  <c r="G1244"/>
  <c r="H314" s="1"/>
  <c r="H39" i="42"/>
  <c r="H61"/>
  <c r="G1077" i="32"/>
  <c r="H242" s="1"/>
  <c r="E55" i="4"/>
  <c r="E58" s="1"/>
  <c r="G142" i="29"/>
  <c r="H918" i="9"/>
  <c r="H1104" s="1"/>
  <c r="E15" i="36"/>
  <c r="G920" i="32"/>
  <c r="G1087" s="1"/>
  <c r="H252" s="1"/>
  <c r="G988" i="9"/>
  <c r="G1174" s="1"/>
  <c r="H244" s="1"/>
  <c r="H970" i="32"/>
  <c r="H1137" s="1"/>
  <c r="G1003" i="9"/>
  <c r="G1189" s="1"/>
  <c r="H259" s="1"/>
  <c r="H984"/>
  <c r="H1170" s="1"/>
  <c r="H1124" i="32"/>
  <c r="G1074"/>
  <c r="H239" s="1"/>
  <c r="H1036" i="9"/>
  <c r="H1222" s="1"/>
  <c r="G1057"/>
  <c r="G1243" s="1"/>
  <c r="H313" s="1"/>
  <c r="H100" i="31"/>
  <c r="H118" s="1"/>
  <c r="H1186" i="32"/>
  <c r="H968" i="9"/>
  <c r="H1154" s="1"/>
  <c r="H1167"/>
  <c r="H994" i="32"/>
  <c r="H1161" s="1"/>
  <c r="G699"/>
  <c r="G866" s="1"/>
  <c r="H996" i="9"/>
  <c r="H1182" s="1"/>
  <c r="H926" i="32"/>
  <c r="H1093" s="1"/>
  <c r="G808"/>
  <c r="G975" s="1"/>
  <c r="H1196" i="9"/>
  <c r="H1204"/>
  <c r="G1007"/>
  <c r="G1193" s="1"/>
  <c r="H263" s="1"/>
  <c r="G128" i="3"/>
  <c r="G152" s="1"/>
  <c r="H56" s="1"/>
  <c r="H93" i="31"/>
  <c r="H111" s="1"/>
  <c r="H1029" i="9"/>
  <c r="H1215" s="1"/>
  <c r="G863" i="32"/>
  <c r="G1030" s="1"/>
  <c r="H195" s="1"/>
  <c r="G869" i="9"/>
  <c r="G1055" s="1"/>
  <c r="H744" i="32"/>
  <c r="H911" s="1"/>
  <c r="G1126"/>
  <c r="H291" s="1"/>
  <c r="H1118" i="9"/>
  <c r="H1304" s="1"/>
  <c r="G769" i="32"/>
  <c r="G936" s="1"/>
  <c r="G1139"/>
  <c r="H304" s="1"/>
  <c r="G51" i="42"/>
  <c r="G42"/>
  <c r="G43" s="1"/>
  <c r="G46" s="1"/>
  <c r="H94" i="3"/>
  <c r="H118" s="1"/>
  <c r="H142" s="1"/>
  <c r="H775" i="9"/>
  <c r="H961" s="1"/>
  <c r="H1147" s="1"/>
  <c r="G390" i="27"/>
  <c r="G9" s="1"/>
  <c r="G951"/>
  <c r="G1134" s="1"/>
  <c r="G13" s="1"/>
  <c r="H37" i="4" s="1"/>
  <c r="H911" i="9"/>
  <c r="H1097" s="1"/>
  <c r="H881"/>
  <c r="H772"/>
  <c r="H958" s="1"/>
  <c r="H1144" s="1"/>
  <c r="G781"/>
  <c r="G967" s="1"/>
  <c r="H778" i="32"/>
  <c r="H945" s="1"/>
  <c r="H1112" s="1"/>
  <c r="H793"/>
  <c r="H960" s="1"/>
  <c r="G1145"/>
  <c r="H310" s="1"/>
  <c r="H873" i="9"/>
  <c r="H1059" s="1"/>
  <c r="H1245" s="1"/>
  <c r="G852"/>
  <c r="G1038" s="1"/>
  <c r="G1224" s="1"/>
  <c r="H294" s="1"/>
  <c r="F1134"/>
  <c r="F13" s="1"/>
  <c r="G19" i="4"/>
  <c r="G53" s="1"/>
  <c r="E78" i="41"/>
  <c r="E86" s="1"/>
  <c r="E87" s="1"/>
  <c r="E120"/>
  <c r="E37"/>
  <c r="F115" i="3"/>
  <c r="F136" s="1"/>
  <c r="F12" s="1"/>
  <c r="H778" i="9"/>
  <c r="H964" s="1"/>
  <c r="H1150" s="1"/>
  <c r="H930"/>
  <c r="H1116" s="1"/>
  <c r="H1302" s="1"/>
  <c r="H129" i="3"/>
  <c r="H153" s="1"/>
  <c r="G1099" i="9"/>
  <c r="G1285" s="1"/>
  <c r="H355" s="1"/>
  <c r="F107" i="41"/>
  <c r="H49" i="43"/>
  <c r="H40"/>
  <c r="H41" s="1"/>
  <c r="H44" s="1"/>
  <c r="H1132" i="9"/>
  <c r="H1318" s="1"/>
  <c r="H1082"/>
  <c r="H1268" s="1"/>
  <c r="H1000"/>
  <c r="H1186" s="1"/>
  <c r="G785"/>
  <c r="G971" s="1"/>
  <c r="G1157" s="1"/>
  <c r="H227" s="1"/>
  <c r="H996" i="32"/>
  <c r="H1163" s="1"/>
  <c r="H1006"/>
  <c r="H1173" s="1"/>
  <c r="H979"/>
  <c r="H1146" s="1"/>
  <c r="E41" i="36"/>
  <c r="H1060" i="9"/>
  <c r="H1246" s="1"/>
  <c r="H985"/>
  <c r="H1171" s="1"/>
  <c r="H1016"/>
  <c r="H1202" s="1"/>
  <c r="H950" i="32"/>
  <c r="H1117" s="1"/>
  <c r="H1016"/>
  <c r="H1183" s="1"/>
  <c r="I37" i="44"/>
  <c r="I38" s="1"/>
  <c r="I59"/>
  <c r="I62" s="1"/>
  <c r="I64" s="1"/>
  <c r="H1199" i="9"/>
  <c r="G979"/>
  <c r="G1165" s="1"/>
  <c r="H235" s="1"/>
  <c r="G925" i="32"/>
  <c r="G1092" s="1"/>
  <c r="H257" s="1"/>
  <c r="G990"/>
  <c r="G1157" s="1"/>
  <c r="H322" s="1"/>
  <c r="F72" i="4"/>
  <c r="F41"/>
  <c r="F46" s="1"/>
  <c r="H942" i="9"/>
  <c r="H1128" s="1"/>
  <c r="H1314" s="1"/>
  <c r="H784" i="32"/>
  <c r="H951" s="1"/>
  <c r="G95" i="3"/>
  <c r="G119" s="1"/>
  <c r="G1071" i="32"/>
  <c r="H236" s="1"/>
  <c r="H861"/>
  <c r="H1028" s="1"/>
  <c r="H736"/>
  <c r="H903" s="1"/>
  <c r="H1070" s="1"/>
  <c r="G1257" i="9"/>
  <c r="H327" s="1"/>
  <c r="G1110" i="32"/>
  <c r="H275" s="1"/>
  <c r="H898" i="9"/>
  <c r="H1084" s="1"/>
  <c r="H1270" s="1"/>
  <c r="G1088"/>
  <c r="G1274" s="1"/>
  <c r="H344" s="1"/>
  <c r="G38" i="33"/>
  <c r="F125"/>
  <c r="F14" s="1"/>
  <c r="F18" s="1"/>
  <c r="G77" i="31"/>
  <c r="G95" s="1"/>
  <c r="G113" s="1"/>
  <c r="H41" s="1"/>
  <c r="G919" i="32"/>
  <c r="G1086" s="1"/>
  <c r="H251" s="1"/>
  <c r="G83" i="42"/>
  <c r="G74"/>
  <c r="G75" s="1"/>
  <c r="G1242" i="9"/>
  <c r="H312" s="1"/>
  <c r="G1106"/>
  <c r="G1292" s="1"/>
  <c r="H362" s="1"/>
  <c r="H942" i="32"/>
  <c r="H1109" s="1"/>
  <c r="H973" i="9"/>
  <c r="H1159" s="1"/>
  <c r="F15" i="3"/>
  <c r="G17" i="4" s="1"/>
  <c r="G1022" i="34"/>
  <c r="G351"/>
  <c r="G9" s="1"/>
  <c r="G855"/>
  <c r="G1019" s="1"/>
  <c r="G13" s="1"/>
  <c r="H855" i="9"/>
  <c r="H1041" s="1"/>
  <c r="H1227" s="1"/>
  <c r="G16" i="35" l="1"/>
  <c r="H897" i="9"/>
  <c r="H1083"/>
  <c r="H1269" s="1"/>
  <c r="H1009"/>
  <c r="H1195" s="1"/>
  <c r="H1301"/>
  <c r="H980"/>
  <c r="H1166" s="1"/>
  <c r="H1283"/>
  <c r="H953"/>
  <c r="H1139" s="1"/>
  <c r="H1107"/>
  <c r="H1293" s="1"/>
  <c r="H984" i="32"/>
  <c r="H1151" s="1"/>
  <c r="H932"/>
  <c r="H1099" s="1"/>
  <c r="H1113"/>
  <c r="H804"/>
  <c r="H971" s="1"/>
  <c r="H1138" s="1"/>
  <c r="G1316" i="9"/>
  <c r="H386" s="1"/>
  <c r="H944" s="1"/>
  <c r="H1130" s="1"/>
  <c r="G106" i="41"/>
  <c r="H868" i="32"/>
  <c r="H1035" s="1"/>
  <c r="H967"/>
  <c r="H1134" s="1"/>
  <c r="H857" i="9"/>
  <c r="H1043"/>
  <c r="H1229" s="1"/>
  <c r="H1049"/>
  <c r="H1235" s="1"/>
  <c r="H872" i="32"/>
  <c r="H1039" s="1"/>
  <c r="H954"/>
  <c r="H1121" s="1"/>
  <c r="H1010"/>
  <c r="H1177" s="1"/>
  <c r="H969" i="9"/>
  <c r="H1155" s="1"/>
  <c r="H78" i="31"/>
  <c r="H96" s="1"/>
  <c r="H114" s="1"/>
  <c r="H943" i="9"/>
  <c r="H1129" s="1"/>
  <c r="H1315" s="1"/>
  <c r="H741" i="32"/>
  <c r="H908" s="1"/>
  <c r="H1075" s="1"/>
  <c r="H861" i="9"/>
  <c r="H1047" s="1"/>
  <c r="H1233" s="1"/>
  <c r="H1127" i="32"/>
  <c r="H1198" i="9"/>
  <c r="H768" i="32"/>
  <c r="H935" s="1"/>
  <c r="H1102" s="1"/>
  <c r="H755"/>
  <c r="H922" s="1"/>
  <c r="H1191" i="9"/>
  <c r="H1052" i="32"/>
  <c r="H1020"/>
  <c r="H1187" s="1"/>
  <c r="F44" i="4"/>
  <c r="G43" s="1"/>
  <c r="G40" s="1"/>
  <c r="H1078" i="32"/>
  <c r="G1033"/>
  <c r="H198" s="1"/>
  <c r="H699" s="1"/>
  <c r="H966"/>
  <c r="H1133" s="1"/>
  <c r="H992"/>
  <c r="H1159" s="1"/>
  <c r="G143" i="3"/>
  <c r="H47" s="1"/>
  <c r="H95" s="1"/>
  <c r="H119" s="1"/>
  <c r="H1185" i="32"/>
  <c r="H727"/>
  <c r="H894" s="1"/>
  <c r="H1061" s="1"/>
  <c r="H1151" i="9"/>
  <c r="H1317"/>
  <c r="H1100"/>
  <c r="H1286" s="1"/>
  <c r="H986" i="32"/>
  <c r="H1153" s="1"/>
  <c r="G1056"/>
  <c r="H221" s="1"/>
  <c r="H1201" i="9"/>
  <c r="H1265"/>
  <c r="H1249"/>
  <c r="G1142" i="32"/>
  <c r="H307" s="1"/>
  <c r="H808" s="1"/>
  <c r="G1027"/>
  <c r="H192" s="1"/>
  <c r="H693" s="1"/>
  <c r="G1111"/>
  <c r="H276" s="1"/>
  <c r="H777" s="1"/>
  <c r="H944" s="1"/>
  <c r="H1111" s="1"/>
  <c r="H1098" i="9"/>
  <c r="H1284" s="1"/>
  <c r="H836"/>
  <c r="H1022" s="1"/>
  <c r="H1208" s="1"/>
  <c r="H1276"/>
  <c r="H1156"/>
  <c r="G1153"/>
  <c r="H223" s="1"/>
  <c r="H781" s="1"/>
  <c r="G1042" i="32"/>
  <c r="H207" s="1"/>
  <c r="H708" s="1"/>
  <c r="H875" s="1"/>
  <c r="H1042" s="1"/>
  <c r="H1067" i="9"/>
  <c r="H1253" s="1"/>
  <c r="H1033"/>
  <c r="H1219" s="1"/>
  <c r="H1025"/>
  <c r="H1211" s="1"/>
  <c r="H918" i="32"/>
  <c r="H1085" s="1"/>
  <c r="H696"/>
  <c r="H77" i="31"/>
  <c r="H95" s="1"/>
  <c r="H113" s="1"/>
  <c r="H823" i="32"/>
  <c r="H802" i="9"/>
  <c r="H988" s="1"/>
  <c r="H1174" s="1"/>
  <c r="H889"/>
  <c r="H817"/>
  <c r="H752" i="32"/>
  <c r="H852" i="9"/>
  <c r="H1038" s="1"/>
  <c r="H1224" s="1"/>
  <c r="H871"/>
  <c r="H1057" s="1"/>
  <c r="H1243" s="1"/>
  <c r="H753" i="32"/>
  <c r="H875" i="9"/>
  <c r="H1061" s="1"/>
  <c r="H1247" s="1"/>
  <c r="H840"/>
  <c r="H1026" s="1"/>
  <c r="H706" i="32"/>
  <c r="H773" i="9"/>
  <c r="H959" s="1"/>
  <c r="H1145" s="1"/>
  <c r="H724" i="32"/>
  <c r="H805" i="9"/>
  <c r="H991" s="1"/>
  <c r="H1177" s="1"/>
  <c r="H813"/>
  <c r="H99" i="3"/>
  <c r="H123" s="1"/>
  <c r="H147" s="1"/>
  <c r="H104"/>
  <c r="H128" s="1"/>
  <c r="H152" s="1"/>
  <c r="H920" i="9"/>
  <c r="H1106" s="1"/>
  <c r="H71" i="4"/>
  <c r="H821" i="9"/>
  <c r="H1007" s="1"/>
  <c r="H1193" s="1"/>
  <c r="H846" i="32"/>
  <c r="H1013" s="1"/>
  <c r="H785" i="9"/>
  <c r="H971" s="1"/>
  <c r="H913"/>
  <c r="H1099" s="1"/>
  <c r="H1285" s="1"/>
  <c r="H902"/>
  <c r="G78" i="42"/>
  <c r="G52"/>
  <c r="H766" i="9"/>
  <c r="H722" i="32"/>
  <c r="H889"/>
  <c r="F114" i="41"/>
  <c r="F95"/>
  <c r="F110"/>
  <c r="E30" i="4"/>
  <c r="E96" i="41"/>
  <c r="G1103" i="32"/>
  <c r="H268" s="1"/>
  <c r="G1241" i="9"/>
  <c r="H311" s="1"/>
  <c r="G17" i="35"/>
  <c r="G38"/>
  <c r="G50"/>
  <c r="G51" s="1"/>
  <c r="H828" i="9"/>
  <c r="H1014" s="1"/>
  <c r="H1200" s="1"/>
  <c r="H869" i="32"/>
  <c r="H1036" s="1"/>
  <c r="H1129"/>
  <c r="F139" i="3"/>
  <c r="I49" i="44"/>
  <c r="D49" s="1"/>
  <c r="I40"/>
  <c r="I41" s="1"/>
  <c r="I44" s="1"/>
  <c r="H870" i="9"/>
  <c r="H1056" s="1"/>
  <c r="H1118" i="32"/>
  <c r="F29" i="4"/>
  <c r="F20"/>
  <c r="E48" i="41"/>
  <c r="E42"/>
  <c r="E46"/>
  <c r="E51"/>
  <c r="E39"/>
  <c r="H1166" i="32"/>
  <c r="H1290" i="9"/>
  <c r="H93" i="42"/>
  <c r="H96" s="1"/>
  <c r="H98" s="1"/>
  <c r="H64"/>
  <c r="H66" s="1"/>
  <c r="F87"/>
  <c r="F92" i="31"/>
  <c r="H79"/>
  <c r="H97" s="1"/>
  <c r="H115" s="1"/>
  <c r="F857" i="32"/>
  <c r="H1054"/>
  <c r="H1162" i="9"/>
  <c r="H1172"/>
  <c r="H1267"/>
  <c r="H1098" i="32"/>
  <c r="H938"/>
  <c r="H1105" s="1"/>
  <c r="H1068"/>
  <c r="H1060"/>
  <c r="G1096" i="9"/>
  <c r="G1282" s="1"/>
  <c r="H352" s="1"/>
  <c r="H1174" i="32"/>
  <c r="H1213" i="9"/>
  <c r="H50" i="43"/>
  <c r="G207" i="9"/>
  <c r="F1320"/>
  <c r="F14" s="1"/>
  <c r="F18" s="1"/>
  <c r="G53" i="33"/>
  <c r="G9" s="1"/>
  <c r="G16" s="1"/>
  <c r="G92"/>
  <c r="G107" s="1"/>
  <c r="G13" s="1"/>
  <c r="H37" i="35" s="1"/>
  <c r="H892" i="9"/>
  <c r="H1078" s="1"/>
  <c r="H1264" s="1"/>
  <c r="E64" i="4"/>
  <c r="H793" i="9"/>
  <c r="G18" i="4"/>
  <c r="G38"/>
  <c r="G53" i="20"/>
  <c r="G54" s="1"/>
  <c r="G51" i="4"/>
  <c r="G52" s="1"/>
  <c r="G44" i="20"/>
  <c r="G53" i="41"/>
  <c r="G54" s="1"/>
  <c r="G44"/>
  <c r="H776" i="32"/>
  <c r="H943" s="1"/>
  <c r="H1110" s="1"/>
  <c r="G1137" i="27"/>
  <c r="H792" i="32"/>
  <c r="H959" s="1"/>
  <c r="H740"/>
  <c r="H907" s="1"/>
  <c r="H1074" s="1"/>
  <c r="H711"/>
  <c r="H878" s="1"/>
  <c r="H876"/>
  <c r="H1043" s="1"/>
  <c r="I49" i="43"/>
  <c r="D49" s="1"/>
  <c r="I40"/>
  <c r="I41" s="1"/>
  <c r="I44" s="1"/>
  <c r="F46" i="35"/>
  <c r="F44"/>
  <c r="G43" s="1"/>
  <c r="H1067" i="32"/>
  <c r="G1019" i="9"/>
  <c r="G1205" s="1"/>
  <c r="H275" s="1"/>
  <c r="H1051"/>
  <c r="H1237" s="1"/>
  <c r="H1032" i="32"/>
  <c r="H995" i="9"/>
  <c r="H1181" s="1"/>
  <c r="H975"/>
  <c r="H1161" s="1"/>
  <c r="H912" i="32"/>
  <c r="H1079" s="1"/>
  <c r="H1039" i="9"/>
  <c r="H1225" s="1"/>
  <c r="H1207"/>
  <c r="H1046"/>
  <c r="H1232" s="1"/>
  <c r="H977"/>
  <c r="H1163" s="1"/>
  <c r="G1026" i="32"/>
  <c r="H191" s="1"/>
  <c r="H1124" i="9"/>
  <c r="H1310" s="1"/>
  <c r="H758" i="32"/>
  <c r="H925" s="1"/>
  <c r="H1092" s="1"/>
  <c r="H737"/>
  <c r="H904" s="1"/>
  <c r="E42" i="20"/>
  <c r="E48"/>
  <c r="E46"/>
  <c r="E51"/>
  <c r="E39"/>
  <c r="H818" i="9"/>
  <c r="H1004" s="1"/>
  <c r="I25" i="42"/>
  <c r="I21"/>
  <c r="I41" s="1"/>
  <c r="I73" s="1"/>
  <c r="H1140" i="9"/>
  <c r="F79" i="35"/>
  <c r="F77"/>
  <c r="G76" s="1"/>
  <c r="H1116" i="32"/>
  <c r="H930"/>
  <c r="H1097" s="1"/>
  <c r="H101" i="31"/>
  <c r="H119" s="1"/>
  <c r="H1184" i="9"/>
  <c r="H53" i="44"/>
  <c r="H1248" i="9"/>
  <c r="G879" i="32"/>
  <c r="G1046" s="1"/>
  <c r="H211" s="1"/>
  <c r="H1064"/>
  <c r="H187" i="34"/>
  <c r="G1186"/>
  <c r="G14" s="1"/>
  <c r="G16" s="1"/>
  <c r="E80" i="41"/>
  <c r="G102"/>
  <c r="G18" i="35"/>
  <c r="G52" s="1"/>
  <c r="H109" i="3"/>
  <c r="F74" i="41"/>
  <c r="F94" s="1"/>
  <c r="F75" i="4"/>
  <c r="H40" i="42"/>
  <c r="H71"/>
  <c r="H72" s="1"/>
  <c r="H842" i="9"/>
  <c r="H46" i="29"/>
  <c r="G161"/>
  <c r="G14" s="1"/>
  <c r="G18" s="1"/>
  <c r="H872" i="9"/>
  <c r="H1058" s="1"/>
  <c r="H1244" s="1"/>
  <c r="G27" i="4"/>
  <c r="H885" i="9"/>
  <c r="H1071" s="1"/>
  <c r="H1257" s="1"/>
  <c r="H811" i="32"/>
  <c r="H978" s="1"/>
  <c r="H805"/>
  <c r="H972" s="1"/>
  <c r="H1139" s="1"/>
  <c r="H743"/>
  <c r="H910" s="1"/>
  <c r="H909" i="9"/>
  <c r="I22" i="42" l="1"/>
  <c r="F76" i="41"/>
  <c r="H967" i="9"/>
  <c r="H1153" s="1"/>
  <c r="H1089" i="32"/>
  <c r="H1077"/>
  <c r="H1045"/>
  <c r="H1180"/>
  <c r="H1071"/>
  <c r="H1316" i="9"/>
  <c r="H1145" i="32"/>
  <c r="H1190" i="9"/>
  <c r="H1126" i="32"/>
  <c r="H1157" i="9"/>
  <c r="H860" i="32"/>
  <c r="H1027" s="1"/>
  <c r="H1242" i="9"/>
  <c r="H1056" i="32"/>
  <c r="H999" i="9"/>
  <c r="H1185" s="1"/>
  <c r="H873" i="32"/>
  <c r="H1040" s="1"/>
  <c r="H990"/>
  <c r="H1157" s="1"/>
  <c r="I50" i="44"/>
  <c r="D44"/>
  <c r="H833" i="9"/>
  <c r="H1019" s="1"/>
  <c r="H1205" s="1"/>
  <c r="H53" i="43"/>
  <c r="H692" i="32"/>
  <c r="H859" s="1"/>
  <c r="H1026" s="1"/>
  <c r="F107" i="31"/>
  <c r="F13" s="1"/>
  <c r="F110"/>
  <c r="F62" i="35"/>
  <c r="F53"/>
  <c r="F54" s="1"/>
  <c r="F57" s="1"/>
  <c r="H207" i="27"/>
  <c r="G1320"/>
  <c r="G14" s="1"/>
  <c r="G16" s="1"/>
  <c r="E48" i="23"/>
  <c r="G110" i="33"/>
  <c r="H869" i="9"/>
  <c r="H1055" s="1"/>
  <c r="H1241" s="1"/>
  <c r="E19" i="23"/>
  <c r="E82" i="4"/>
  <c r="G84" i="42"/>
  <c r="H891" i="32"/>
  <c r="H1058" s="1"/>
  <c r="H919"/>
  <c r="H1086" s="1"/>
  <c r="H1075" i="9"/>
  <c r="H1261" s="1"/>
  <c r="I39" i="42"/>
  <c r="I61"/>
  <c r="I50" i="43"/>
  <c r="I53" s="1"/>
  <c r="H712" i="32"/>
  <c r="H910" i="9"/>
  <c r="G73" i="35"/>
  <c r="G55" i="42"/>
  <c r="F80" i="4"/>
  <c r="F78"/>
  <c r="G77" s="1"/>
  <c r="G72"/>
  <c r="G41"/>
  <c r="G46" s="1"/>
  <c r="H769" i="32"/>
  <c r="H936" s="1"/>
  <c r="H1103" s="1"/>
  <c r="H1088" i="9"/>
  <c r="H1274" s="1"/>
  <c r="H920" i="32"/>
  <c r="H1087" s="1"/>
  <c r="H863"/>
  <c r="H1030" s="1"/>
  <c r="H70" i="35"/>
  <c r="G71"/>
  <c r="G40"/>
  <c r="G41" s="1"/>
  <c r="G46" s="1"/>
  <c r="G390" i="9"/>
  <c r="G9" s="1"/>
  <c r="G16" s="1"/>
  <c r="G765"/>
  <c r="G948" s="1"/>
  <c r="G12" s="1"/>
  <c r="F1021" i="32"/>
  <c r="F13" s="1"/>
  <c r="F1024"/>
  <c r="H51" i="42"/>
  <c r="H42"/>
  <c r="H43" s="1"/>
  <c r="H46" s="1"/>
  <c r="E121" i="41"/>
  <c r="E123" s="1"/>
  <c r="E97"/>
  <c r="E99" s="1"/>
  <c r="H866" i="32"/>
  <c r="H1033" s="1"/>
  <c r="H1292" i="9"/>
  <c r="H1212"/>
  <c r="H975" i="32"/>
  <c r="H1142" s="1"/>
  <c r="H143" i="3"/>
  <c r="H133"/>
  <c r="H157" s="1"/>
  <c r="H952" i="9"/>
  <c r="H1138" s="1"/>
  <c r="H1003"/>
  <c r="H1189" s="1"/>
  <c r="G61" i="4"/>
  <c r="H351" i="34"/>
  <c r="H9" s="1"/>
  <c r="H855"/>
  <c r="H1019" s="1"/>
  <c r="H13" s="1"/>
  <c r="H118" i="29"/>
  <c r="H137" s="1"/>
  <c r="H13" s="1"/>
  <c r="H142"/>
  <c r="H161" s="1"/>
  <c r="H14" s="1"/>
  <c r="H18" s="1"/>
  <c r="D90" i="1" s="1"/>
  <c r="H65" i="29"/>
  <c r="H9" s="1"/>
  <c r="H16" s="1"/>
  <c r="H1095" i="9"/>
  <c r="H1281" s="1"/>
  <c r="H1028"/>
  <c r="H1214" s="1"/>
  <c r="F28" i="35"/>
  <c r="F37" i="20" s="1"/>
  <c r="F19" i="35"/>
  <c r="F20" s="1"/>
  <c r="F23" s="1"/>
  <c r="H979" i="9"/>
  <c r="H1165" s="1"/>
  <c r="H83" i="42"/>
  <c r="H74"/>
  <c r="H75" s="1"/>
  <c r="I23"/>
  <c r="D44" i="43"/>
  <c r="F21" i="4"/>
  <c r="F24" s="1"/>
  <c r="G43" i="3"/>
  <c r="F160"/>
  <c r="F13" s="1"/>
  <c r="G44" i="4" l="1"/>
  <c r="H43" s="1"/>
  <c r="G74" i="35"/>
  <c r="G79" s="1"/>
  <c r="G53" s="1"/>
  <c r="G54" s="1"/>
  <c r="G57" s="1"/>
  <c r="H879" i="32"/>
  <c r="H1046" s="1"/>
  <c r="F48" i="20"/>
  <c r="F51"/>
  <c r="F42"/>
  <c r="F46"/>
  <c r="F39"/>
  <c r="G28" i="35"/>
  <c r="G19"/>
  <c r="G20" s="1"/>
  <c r="G23" s="1"/>
  <c r="H78" i="42"/>
  <c r="H52"/>
  <c r="F63" i="4"/>
  <c r="F54"/>
  <c r="F63" i="35"/>
  <c r="I37" i="4"/>
  <c r="I53" i="44"/>
  <c r="D102" i="1" s="1"/>
  <c r="D50" i="44"/>
  <c r="F17" i="3"/>
  <c r="H38" i="33"/>
  <c r="G125"/>
  <c r="G14" s="1"/>
  <c r="G18" s="1"/>
  <c r="D50" i="43"/>
  <c r="G64" i="3"/>
  <c r="G9" s="1"/>
  <c r="G91"/>
  <c r="G112" s="1"/>
  <c r="G11" s="1"/>
  <c r="F29" i="35"/>
  <c r="G44"/>
  <c r="H43" s="1"/>
  <c r="G87" i="42"/>
  <c r="G38" i="31"/>
  <c r="F125"/>
  <c r="F14" s="1"/>
  <c r="F18" s="1"/>
  <c r="D101" i="1"/>
  <c r="G26" i="35"/>
  <c r="G105" i="41"/>
  <c r="G29" i="4"/>
  <c r="G20"/>
  <c r="I93" i="42"/>
  <c r="I96" s="1"/>
  <c r="I98" s="1"/>
  <c r="I64"/>
  <c r="I66" s="1"/>
  <c r="E111" i="41"/>
  <c r="E112" s="1"/>
  <c r="E115" s="1"/>
  <c r="G189" i="32"/>
  <c r="F1188"/>
  <c r="F14" s="1"/>
  <c r="F18" s="1"/>
  <c r="H1022" i="34"/>
  <c r="H1186" s="1"/>
  <c r="H14" s="1"/>
  <c r="H16" s="1"/>
  <c r="G951" i="9"/>
  <c r="G74" i="41"/>
  <c r="G94" s="1"/>
  <c r="H1096" i="9"/>
  <c r="H1282" s="1"/>
  <c r="I40" i="42"/>
  <c r="I71"/>
  <c r="I72" s="1"/>
  <c r="F30" i="4"/>
  <c r="G74"/>
  <c r="G75" s="1"/>
  <c r="G80" s="1"/>
  <c r="H951" i="27"/>
  <c r="H1134" s="1"/>
  <c r="H13" s="1"/>
  <c r="H390"/>
  <c r="H9" s="1"/>
  <c r="H1137"/>
  <c r="H1320" s="1"/>
  <c r="H14" s="1"/>
  <c r="H16" s="1"/>
  <c r="H40" i="4"/>
  <c r="G115" i="3" l="1"/>
  <c r="G136" s="1"/>
  <c r="G12" s="1"/>
  <c r="G62" i="35"/>
  <c r="G77"/>
  <c r="H76" s="1"/>
  <c r="H73" s="1"/>
  <c r="G29"/>
  <c r="G15" i="36" s="1"/>
  <c r="G54" i="4"/>
  <c r="G55" s="1"/>
  <c r="G58" s="1"/>
  <c r="G63"/>
  <c r="G1134" i="9"/>
  <c r="G13" s="1"/>
  <c r="H27" i="4" s="1"/>
  <c r="G1137" i="9"/>
  <c r="H53" i="33"/>
  <c r="H9" s="1"/>
  <c r="H16" s="1"/>
  <c r="H110"/>
  <c r="H125" s="1"/>
  <c r="H14" s="1"/>
  <c r="H18" s="1"/>
  <c r="D91" i="1" s="1"/>
  <c r="H92" i="33"/>
  <c r="H107" s="1"/>
  <c r="H13" s="1"/>
  <c r="I37" i="35" s="1"/>
  <c r="I71" i="4"/>
  <c r="G107" i="41"/>
  <c r="G690" i="32"/>
  <c r="G854" s="1"/>
  <c r="G12" s="1"/>
  <c r="G353"/>
  <c r="G9" s="1"/>
  <c r="G16" s="1"/>
  <c r="G60" i="35"/>
  <c r="G29" i="20"/>
  <c r="G31" s="1"/>
  <c r="G35" s="1"/>
  <c r="G29" i="41"/>
  <c r="G31" s="1"/>
  <c r="G35" s="1"/>
  <c r="G70"/>
  <c r="G72" s="1"/>
  <c r="G76" s="1"/>
  <c r="H19" i="4"/>
  <c r="H53" s="1"/>
  <c r="F55"/>
  <c r="F58" s="1"/>
  <c r="G78"/>
  <c r="H77" s="1"/>
  <c r="G139" i="3"/>
  <c r="F120" i="41"/>
  <c r="F37"/>
  <c r="F78"/>
  <c r="G21" i="4"/>
  <c r="G24" s="1"/>
  <c r="G74" i="31"/>
  <c r="G89" s="1"/>
  <c r="G12" s="1"/>
  <c r="G53"/>
  <c r="G9" s="1"/>
  <c r="G16" s="1"/>
  <c r="G15" i="3"/>
  <c r="H17" i="4" s="1"/>
  <c r="F15" i="36"/>
  <c r="F41"/>
  <c r="F19" i="23"/>
  <c r="F82" i="4"/>
  <c r="D82" s="1"/>
  <c r="G37" i="20"/>
  <c r="I51" i="42"/>
  <c r="D51" s="1"/>
  <c r="I42"/>
  <c r="I43" s="1"/>
  <c r="I46" s="1"/>
  <c r="H55"/>
  <c r="I83"/>
  <c r="D83" s="1"/>
  <c r="I74"/>
  <c r="I75" s="1"/>
  <c r="H40" i="35"/>
  <c r="H84" i="42"/>
  <c r="G92" i="31" l="1"/>
  <c r="G107" s="1"/>
  <c r="G13" s="1"/>
  <c r="H16" i="35"/>
  <c r="H61" i="4"/>
  <c r="H43" i="3"/>
  <c r="G160"/>
  <c r="G13" s="1"/>
  <c r="H18" i="35"/>
  <c r="H52" s="1"/>
  <c r="I78" i="42"/>
  <c r="I52"/>
  <c r="D46"/>
  <c r="G39" i="20"/>
  <c r="G110" i="41"/>
  <c r="G114"/>
  <c r="G95"/>
  <c r="G30" i="4"/>
  <c r="H74"/>
  <c r="H207" i="9"/>
  <c r="G1320"/>
  <c r="G14" s="1"/>
  <c r="G18" s="1"/>
  <c r="G46" i="20"/>
  <c r="G51"/>
  <c r="G48"/>
  <c r="G42"/>
  <c r="H102" i="41"/>
  <c r="G857" i="32"/>
  <c r="G1021" s="1"/>
  <c r="G13" s="1"/>
  <c r="H26" i="35" s="1"/>
  <c r="G78" i="41"/>
  <c r="G86" s="1"/>
  <c r="G87" s="1"/>
  <c r="G120"/>
  <c r="G37"/>
  <c r="F46"/>
  <c r="F48"/>
  <c r="F42"/>
  <c r="F51"/>
  <c r="F39"/>
  <c r="H87" i="42"/>
  <c r="F64" i="4"/>
  <c r="G63" i="35"/>
  <c r="H18" i="4"/>
  <c r="H38"/>
  <c r="H44" i="20"/>
  <c r="H51" i="4"/>
  <c r="H52" s="1"/>
  <c r="H53" i="41"/>
  <c r="H54" s="1"/>
  <c r="H44"/>
  <c r="F86"/>
  <c r="F87" s="1"/>
  <c r="F80"/>
  <c r="H106"/>
  <c r="I70" i="35"/>
  <c r="G64" i="4"/>
  <c r="G48" i="23" s="1"/>
  <c r="G80" i="41" l="1"/>
  <c r="G1024" i="32"/>
  <c r="G110" i="31"/>
  <c r="G125" s="1"/>
  <c r="G14" s="1"/>
  <c r="G18" s="1"/>
  <c r="H60" i="35"/>
  <c r="H29" i="20"/>
  <c r="H31" s="1"/>
  <c r="H35" s="1"/>
  <c r="H29" i="41"/>
  <c r="H31" s="1"/>
  <c r="H35" s="1"/>
  <c r="H70"/>
  <c r="H72" s="1"/>
  <c r="H64" i="3"/>
  <c r="H9" s="1"/>
  <c r="H91"/>
  <c r="H112" s="1"/>
  <c r="H11" s="1"/>
  <c r="H189" i="32"/>
  <c r="G1188"/>
  <c r="G14" s="1"/>
  <c r="G18" s="1"/>
  <c r="H72" i="4"/>
  <c r="H41"/>
  <c r="G42" i="41"/>
  <c r="G48"/>
  <c r="G46"/>
  <c r="G51"/>
  <c r="H105"/>
  <c r="H765" i="9"/>
  <c r="H948" s="1"/>
  <c r="H12" s="1"/>
  <c r="H390"/>
  <c r="H9" s="1"/>
  <c r="H16" s="1"/>
  <c r="F96" i="41"/>
  <c r="G41" i="36"/>
  <c r="G39" i="41"/>
  <c r="I55" i="42"/>
  <c r="D99" i="1" s="1"/>
  <c r="D52" i="42"/>
  <c r="I84"/>
  <c r="D78"/>
  <c r="H38" i="35"/>
  <c r="H17"/>
  <c r="H50"/>
  <c r="H51" s="1"/>
  <c r="F48" i="23"/>
  <c r="G19"/>
  <c r="H53" i="20"/>
  <c r="H54" s="1"/>
  <c r="G17" i="3"/>
  <c r="H38" i="31" l="1"/>
  <c r="H115" i="3"/>
  <c r="H136" s="1"/>
  <c r="H12" s="1"/>
  <c r="H107" i="41"/>
  <c r="H95" s="1"/>
  <c r="H15" i="3"/>
  <c r="I17" i="4" s="1"/>
  <c r="H71" i="35"/>
  <c r="H74" s="1"/>
  <c r="H41"/>
  <c r="H53" i="31"/>
  <c r="H9" s="1"/>
  <c r="H16" s="1"/>
  <c r="H74"/>
  <c r="H89" s="1"/>
  <c r="H12" s="1"/>
  <c r="I87" i="42"/>
  <c r="D100" i="1" s="1"/>
  <c r="D84" i="42"/>
  <c r="H46" i="4"/>
  <c r="H44"/>
  <c r="I43" s="1"/>
  <c r="F121" i="41"/>
  <c r="F123" s="1"/>
  <c r="F97"/>
  <c r="F99" s="1"/>
  <c r="H690" i="32"/>
  <c r="H854" s="1"/>
  <c r="H12" s="1"/>
  <c r="H353"/>
  <c r="H9" s="1"/>
  <c r="H16" s="1"/>
  <c r="H75" i="4"/>
  <c r="H951" i="9"/>
  <c r="H1134" s="1"/>
  <c r="H13" s="1"/>
  <c r="I19" i="4"/>
  <c r="I53" s="1"/>
  <c r="H110" i="41" l="1"/>
  <c r="H114"/>
  <c r="I16" i="35"/>
  <c r="I53" i="20" s="1"/>
  <c r="I54" s="1"/>
  <c r="J54" s="1"/>
  <c r="H74" i="41"/>
  <c r="H94" s="1"/>
  <c r="I106"/>
  <c r="H139" i="3"/>
  <c r="H160" s="1"/>
  <c r="H13" s="1"/>
  <c r="H17" s="1"/>
  <c r="D84" i="1" s="1"/>
  <c r="H1137" i="9"/>
  <c r="H1320" s="1"/>
  <c r="H14" s="1"/>
  <c r="H18" s="1"/>
  <c r="D86" i="1" s="1"/>
  <c r="F111" i="41"/>
  <c r="F112" s="1"/>
  <c r="F115" s="1"/>
  <c r="I38" i="35"/>
  <c r="I50"/>
  <c r="I51" s="1"/>
  <c r="I27" i="4"/>
  <c r="H46" i="35"/>
  <c r="H44"/>
  <c r="I43" s="1"/>
  <c r="I18"/>
  <c r="I52" s="1"/>
  <c r="H857" i="32"/>
  <c r="H1021" s="1"/>
  <c r="H13" s="1"/>
  <c r="H79" i="35"/>
  <c r="H77"/>
  <c r="I76" s="1"/>
  <c r="I40" i="4"/>
  <c r="H80"/>
  <c r="H78"/>
  <c r="I77" s="1"/>
  <c r="I102" i="41"/>
  <c r="H20" i="4"/>
  <c r="H29"/>
  <c r="H92" i="31"/>
  <c r="I51" i="4"/>
  <c r="I52" s="1"/>
  <c r="I53" i="41"/>
  <c r="I54" s="1"/>
  <c r="J54" s="1"/>
  <c r="I18" i="4"/>
  <c r="I38"/>
  <c r="I44" i="20"/>
  <c r="I44" i="41"/>
  <c r="I17" i="35" l="1"/>
  <c r="H76" i="41"/>
  <c r="H107" i="31"/>
  <c r="H13" s="1"/>
  <c r="H110"/>
  <c r="H125" s="1"/>
  <c r="H14" s="1"/>
  <c r="H53" i="35"/>
  <c r="H54" s="1"/>
  <c r="H57" s="1"/>
  <c r="H62"/>
  <c r="H28"/>
  <c r="H37" i="20" s="1"/>
  <c r="H19" i="35"/>
  <c r="H20" s="1"/>
  <c r="H23" s="1"/>
  <c r="I72" i="4"/>
  <c r="I41"/>
  <c r="I46" s="1"/>
  <c r="I74"/>
  <c r="H1024" i="32"/>
  <c r="H1188" s="1"/>
  <c r="H14" s="1"/>
  <c r="H18" s="1"/>
  <c r="D87" i="1" s="1"/>
  <c r="H63" i="4"/>
  <c r="H54"/>
  <c r="I71" i="35"/>
  <c r="I61" i="4"/>
  <c r="D61" s="1"/>
  <c r="D27"/>
  <c r="H21"/>
  <c r="H24" s="1"/>
  <c r="I73" i="35"/>
  <c r="I40"/>
  <c r="I41" s="1"/>
  <c r="H51" i="20" l="1"/>
  <c r="H42"/>
  <c r="H48"/>
  <c r="H46"/>
  <c r="H39"/>
  <c r="I46" i="35"/>
  <c r="I44"/>
  <c r="H55" i="4"/>
  <c r="H58" s="1"/>
  <c r="I74" i="35"/>
  <c r="I79" s="1"/>
  <c r="I74" i="41"/>
  <c r="I94" s="1"/>
  <c r="I75" i="4"/>
  <c r="I80" s="1"/>
  <c r="H78" i="41"/>
  <c r="H120"/>
  <c r="H37"/>
  <c r="H63" i="35"/>
  <c r="H29"/>
  <c r="H30" i="4"/>
  <c r="H18" i="31"/>
  <c r="D85" i="1" s="1"/>
  <c r="D92" s="1"/>
  <c r="I107" i="41"/>
  <c r="I26" i="35"/>
  <c r="I105" i="41"/>
  <c r="I20" i="4"/>
  <c r="I29"/>
  <c r="I44"/>
  <c r="I77" i="35" l="1"/>
  <c r="H19" i="23"/>
  <c r="I21" i="4"/>
  <c r="I24" s="1"/>
  <c r="D20"/>
  <c r="I63"/>
  <c r="I54"/>
  <c r="I28" i="35"/>
  <c r="D28" s="1"/>
  <c r="I19"/>
  <c r="I20" s="1"/>
  <c r="I23" s="1"/>
  <c r="I60"/>
  <c r="D60" s="1"/>
  <c r="D26"/>
  <c r="I29" i="41"/>
  <c r="I31" s="1"/>
  <c r="I35" s="1"/>
  <c r="I29" i="20"/>
  <c r="I31" s="1"/>
  <c r="I35" s="1"/>
  <c r="I70" i="41"/>
  <c r="I72" s="1"/>
  <c r="I76" s="1"/>
  <c r="H41" i="36"/>
  <c r="I53" i="35"/>
  <c r="I54" s="1"/>
  <c r="I57" s="1"/>
  <c r="I62"/>
  <c r="D62" s="1"/>
  <c r="H64" i="4"/>
  <c r="I110" i="41"/>
  <c r="I114"/>
  <c r="I95"/>
  <c r="D29" i="4"/>
  <c r="H86" i="41"/>
  <c r="H87" s="1"/>
  <c r="H80"/>
  <c r="H15" i="36"/>
  <c r="H48" i="41"/>
  <c r="H51"/>
  <c r="H46"/>
  <c r="H42"/>
  <c r="H39"/>
  <c r="I78" i="4"/>
  <c r="I55" l="1"/>
  <c r="I58" s="1"/>
  <c r="D54"/>
  <c r="H48" i="23"/>
  <c r="I30" i="4"/>
  <c r="D24"/>
  <c r="I37" i="41"/>
  <c r="I39" s="1"/>
  <c r="I78"/>
  <c r="I86" s="1"/>
  <c r="I87" s="1"/>
  <c r="I120"/>
  <c r="D63" i="4"/>
  <c r="I63" i="35"/>
  <c r="D57"/>
  <c r="I37" i="20"/>
  <c r="I29" i="35"/>
  <c r="D23"/>
  <c r="G96" i="41" l="1"/>
  <c r="I46"/>
  <c r="I51"/>
  <c r="I42"/>
  <c r="I48"/>
  <c r="I15" i="36"/>
  <c r="D35" s="1"/>
  <c r="D37" s="1"/>
  <c r="D97" i="1" s="1"/>
  <c r="D29" i="35"/>
  <c r="I64" i="4"/>
  <c r="D58"/>
  <c r="I48" i="20"/>
  <c r="I46"/>
  <c r="I42"/>
  <c r="I51"/>
  <c r="I80" i="41"/>
  <c r="I19" i="23"/>
  <c r="D41" s="1"/>
  <c r="D43" s="1"/>
  <c r="D95" i="1" s="1"/>
  <c r="D30" i="4"/>
  <c r="I41" i="36"/>
  <c r="D60" s="1"/>
  <c r="D62" s="1"/>
  <c r="D98" i="1" s="1"/>
  <c r="D63" i="35"/>
  <c r="I39" i="20"/>
  <c r="I48" i="23" l="1"/>
  <c r="D70" s="1"/>
  <c r="D72" s="1"/>
  <c r="D96" i="1" s="1"/>
  <c r="D103" s="1"/>
  <c r="D105" s="1"/>
  <c r="D64" i="4"/>
  <c r="H96" i="41"/>
  <c r="G121"/>
  <c r="G123" s="1"/>
  <c r="G97"/>
  <c r="G99" s="1"/>
  <c r="G111" l="1"/>
  <c r="G112" s="1"/>
  <c r="G115" s="1"/>
  <c r="I96"/>
  <c r="H121"/>
  <c r="H123" s="1"/>
  <c r="H97"/>
  <c r="H99" s="1"/>
  <c r="H111" l="1"/>
  <c r="H112" s="1"/>
  <c r="H115" s="1"/>
  <c r="I121"/>
  <c r="I123" s="1"/>
  <c r="I97"/>
  <c r="I99" s="1"/>
  <c r="I111" l="1"/>
  <c r="I112" s="1"/>
  <c r="I115" s="1"/>
  <c r="J99"/>
</calcChain>
</file>

<file path=xl/sharedStrings.xml><?xml version="1.0" encoding="utf-8"?>
<sst xmlns="http://schemas.openxmlformats.org/spreadsheetml/2006/main" count="2485" uniqueCount="489">
  <si>
    <t>Year Index</t>
  </si>
  <si>
    <t>Year</t>
  </si>
  <si>
    <t>2015/16</t>
  </si>
  <si>
    <t>2016/17</t>
  </si>
  <si>
    <t>2017/18</t>
  </si>
  <si>
    <t>Colour Codes</t>
  </si>
  <si>
    <t>Indicates input data.</t>
  </si>
  <si>
    <t>Blue Text</t>
  </si>
  <si>
    <t>Indicates notes, assuptions or check calculations.</t>
  </si>
  <si>
    <t>Notes &amp; Assumptions</t>
  </si>
  <si>
    <t>2013/14</t>
  </si>
  <si>
    <t>2014/15</t>
  </si>
  <si>
    <t>Inflationary Gain</t>
  </si>
  <si>
    <t>Depreciation</t>
  </si>
  <si>
    <t>Closing ODRC</t>
  </si>
  <si>
    <t>Return on Investment</t>
  </si>
  <si>
    <t>Asset Value for ROI Calculation</t>
  </si>
  <si>
    <t>Required ROI from Tariffs</t>
  </si>
  <si>
    <t>Capex</t>
  </si>
  <si>
    <t>Assumptions</t>
  </si>
  <si>
    <t>Inflation</t>
  </si>
  <si>
    <t>WACC (Nominal Post-Tax)</t>
  </si>
  <si>
    <t>Nominal post-tax discount factor</t>
  </si>
  <si>
    <t>Cost of Debt</t>
  </si>
  <si>
    <t>Debt Funding (% of RAB)</t>
  </si>
  <si>
    <t>WACC (nominal post-tax)</t>
  </si>
  <si>
    <t>Accumulated Losses for Tax Purposes</t>
  </si>
  <si>
    <t>Disposals</t>
  </si>
  <si>
    <t>less Value of Imputation Credits</t>
  </si>
  <si>
    <t>Target Revenue Calculation</t>
  </si>
  <si>
    <t>less Other Income</t>
  </si>
  <si>
    <t>Operating &amp; Maintenance</t>
  </si>
  <si>
    <t>Tax</t>
  </si>
  <si>
    <t>Other income</t>
  </si>
  <si>
    <t>Tax Calculation</t>
  </si>
  <si>
    <t>Forecast Tariff Revenue</t>
  </si>
  <si>
    <t>plus Other Income</t>
  </si>
  <si>
    <t>Taxable Profit</t>
  </si>
  <si>
    <t>Opening Accumulated Losses</t>
  </si>
  <si>
    <t>Closing Accumulated Losses</t>
  </si>
  <si>
    <t>less Tax Depreciation</t>
  </si>
  <si>
    <t>less Interest</t>
  </si>
  <si>
    <t>less Operating &amp; Maintenance</t>
  </si>
  <si>
    <t>less Previous Year Losses</t>
  </si>
  <si>
    <t>Water</t>
  </si>
  <si>
    <t>Sewerage</t>
  </si>
  <si>
    <t>Asset Name or Number</t>
  </si>
  <si>
    <t>(years)</t>
  </si>
  <si>
    <t>Opening Remaining Life</t>
  </si>
  <si>
    <t>Total</t>
  </si>
  <si>
    <t>Opening Asset RAV</t>
  </si>
  <si>
    <t>Total Opening ODRC</t>
  </si>
  <si>
    <t>Total Disposals</t>
  </si>
  <si>
    <t>Total Inflationary Gain</t>
  </si>
  <si>
    <t>Total Depreciation</t>
  </si>
  <si>
    <t>Total Capex</t>
  </si>
  <si>
    <t>Regulated Asset Base Details - Water (Capex)</t>
  </si>
  <si>
    <t>[not used]</t>
  </si>
  <si>
    <t>[enter sewerage asset]</t>
  </si>
  <si>
    <t>Included in RAB?</t>
  </si>
  <si>
    <t>(1=yes;0=no)</t>
  </si>
  <si>
    <t>Regulated Asset Base Details - Existing Water Assets</t>
  </si>
  <si>
    <t>Debt Funding</t>
  </si>
  <si>
    <t>Corporate Tax</t>
  </si>
  <si>
    <t>Gamma</t>
  </si>
  <si>
    <t>NPV</t>
  </si>
  <si>
    <t>Forecast Revenue</t>
  </si>
  <si>
    <t>Capitalised interest (entered as positive values)</t>
  </si>
  <si>
    <t>Cash and cash equivalents</t>
  </si>
  <si>
    <t>Net fixed assets</t>
  </si>
  <si>
    <t>Short-term debt</t>
  </si>
  <si>
    <t>Long-term debt</t>
  </si>
  <si>
    <t>Adjusted Income Statement (for financeability test only)</t>
  </si>
  <si>
    <t>Income</t>
  </si>
  <si>
    <t>Water income</t>
  </si>
  <si>
    <t>Total Income</t>
  </si>
  <si>
    <t>Operations and maintenance</t>
  </si>
  <si>
    <t>EBITDA</t>
  </si>
  <si>
    <t>EBIT</t>
  </si>
  <si>
    <t>Net Interest expense</t>
  </si>
  <si>
    <t>Net Profit (Loss) before Tax</t>
  </si>
  <si>
    <t>Income Tax</t>
  </si>
  <si>
    <t>Net Profit (Loss) After Tax</t>
  </si>
  <si>
    <t>Financeability Metrics</t>
  </si>
  <si>
    <t>Values pasted from financial budget / forecast</t>
  </si>
  <si>
    <t>Sewerage income</t>
  </si>
  <si>
    <t>Moody's makes the following adjustments to depreciation expense for rating purposes:
1) classify two thirds of the rent expense to depreciation for "capitalised operating leases".</t>
  </si>
  <si>
    <t xml:space="preserve">Moody's makes the following adjustments to interest expense for rating purposes:
1) classify one third of the rent expense to interest expense.
2) increase interest expense by the amount of capitalised interest during the current period.
</t>
  </si>
  <si>
    <t xml:space="preserve">FFO = EBITDA - interest expense - income tax paid;
FFO interest cover = (FFO + interest expense) / interest expense
                           =(EBITDA - income tax paid) / interest expense
</t>
  </si>
  <si>
    <t>Net debt is defined as short-term debt plus long-term debt - cash and cash equivalents.</t>
  </si>
  <si>
    <t>Retained cash flow is (FFO - dividends). For the purposes of metric calculation, dividends are assumed to be paid out as 40% of FFO.</t>
  </si>
  <si>
    <t>Demand at Tier 1 price</t>
  </si>
  <si>
    <t>Demand at Tier 2 price</t>
  </si>
  <si>
    <t>Forecast supply charges</t>
  </si>
  <si>
    <t>(kL)</t>
  </si>
  <si>
    <t>Forecast fixture charges</t>
  </si>
  <si>
    <t>Prices</t>
  </si>
  <si>
    <t>($/cust)</t>
  </si>
  <si>
    <t>($/kL)</t>
  </si>
  <si>
    <t>Supply Charge</t>
  </si>
  <si>
    <t>Tier 1 Price</t>
  </si>
  <si>
    <t>Target Revenue</t>
  </si>
  <si>
    <t>Price Setting Calculation</t>
  </si>
  <si>
    <t>Price Escalators</t>
  </si>
  <si>
    <t>(%)</t>
  </si>
  <si>
    <t>Revenue</t>
  </si>
  <si>
    <t>($)</t>
  </si>
  <si>
    <t>Case 1: Set Prices to Achieve Panel Target Revenue over 5 Years</t>
  </si>
  <si>
    <t>Case 2: Set Prices to Achieve Panel Target Revenue over Remaining 3 Years</t>
  </si>
  <si>
    <t>Check NPV of Forecast Revenue = Target Revenue</t>
  </si>
  <si>
    <t>NPV Target Revenue</t>
  </si>
  <si>
    <t>NPV Forecast Revenue</t>
  </si>
  <si>
    <t>Error</t>
  </si>
  <si>
    <t>P0</t>
  </si>
  <si>
    <t>X</t>
  </si>
  <si>
    <t>ACTEW Panel Review - Price Model</t>
  </si>
  <si>
    <t>Opening Value</t>
  </si>
  <si>
    <t>Opening Value (nominal)</t>
  </si>
  <si>
    <t>Closing Value</t>
  </si>
  <si>
    <t>Regulated Asset Base (Water - Capex) Summary</t>
  </si>
  <si>
    <t>Check closing value (should be zero)</t>
  </si>
  <si>
    <t>Regulated Asset Base Summary - Existing Water Assets</t>
  </si>
  <si>
    <t>RAB for Return on Investment Calculation</t>
  </si>
  <si>
    <t>Pricing Model Capex ID</t>
  </si>
  <si>
    <t>Pricing Model Capex Project Reference</t>
  </si>
  <si>
    <t>RAB</t>
  </si>
  <si>
    <t>ACTEW Capex ID</t>
  </si>
  <si>
    <t>ACTEW Capex Description</t>
  </si>
  <si>
    <t>Useful Life</t>
  </si>
  <si>
    <t>Tax Life</t>
  </si>
  <si>
    <t>Spend Year</t>
  </si>
  <si>
    <t>Nominal Spend</t>
  </si>
  <si>
    <t>WaterRAB</t>
  </si>
  <si>
    <t>Check closing RAB (should be zero)</t>
  </si>
  <si>
    <t>Total Closing RAB</t>
  </si>
  <si>
    <t>Check RAB capex = capex input (should be zero)</t>
  </si>
  <si>
    <t>Tax Book Value (Water - Capex) Summary</t>
  </si>
  <si>
    <t>SewerageRAB</t>
  </si>
  <si>
    <t>Regulated Asset Base Summary - Existing Sewerage Assets</t>
  </si>
  <si>
    <t>Regulated Asset Base Details - Existing Sewerage Assets</t>
  </si>
  <si>
    <t>Regulated Asset Base (Sewer - Capex) Summary</t>
  </si>
  <si>
    <t>Regulated Asset Base Details - Sewer (Capex)</t>
  </si>
  <si>
    <t>Tax Book Value (Sewer - Capex) Summary</t>
  </si>
  <si>
    <t>Indicates cell value is set by a macro.</t>
  </si>
  <si>
    <t>Fixture Charge</t>
  </si>
  <si>
    <t>($/fixture)</t>
  </si>
  <si>
    <t>Quarterly Consumption (as a fraction of Annual Consumption)</t>
  </si>
  <si>
    <t>Quarter 1</t>
  </si>
  <si>
    <t>Quarter 2</t>
  </si>
  <si>
    <t>Quarter 3</t>
  </si>
  <si>
    <t>Quarter 4</t>
  </si>
  <si>
    <t>Annual Bill</t>
  </si>
  <si>
    <t>Tier 1 Consumption</t>
  </si>
  <si>
    <t>Sewerage Charge</t>
  </si>
  <si>
    <t>Water Supply Charge</t>
  </si>
  <si>
    <t>Tier 2 Price</t>
  </si>
  <si>
    <t>Tier 2 Threshold</t>
  </si>
  <si>
    <t>(kL/day)</t>
  </si>
  <si>
    <t>Actual Charges</t>
  </si>
  <si>
    <t>Sewerage Fixtures</t>
  </si>
  <si>
    <t>($ p.a.)</t>
  </si>
  <si>
    <t xml:space="preserve">Change Annual Bill </t>
  </si>
  <si>
    <t>2012/13</t>
  </si>
  <si>
    <t>Financial Assumptions</t>
  </si>
  <si>
    <t>Water Assets as at 1 July 2013</t>
  </si>
  <si>
    <t>RAB Remaining Life</t>
  </si>
  <si>
    <t>Opening Tax Value</t>
  </si>
  <si>
    <t>Tax Remaining Life</t>
  </si>
  <si>
    <t>Sewerage Assets as at 1 July 2013</t>
  </si>
  <si>
    <t>Proportion of capital expenditure inflated and depreciated in the year of spend</t>
  </si>
  <si>
    <t>Operations and Maintenance Expenses</t>
  </si>
  <si>
    <t>Water Abstraction charge</t>
  </si>
  <si>
    <t>Utilities Network Facilities Charge</t>
  </si>
  <si>
    <t>Controllable operating expenditure</t>
  </si>
  <si>
    <t>Subvention</t>
  </si>
  <si>
    <t>Nil opening tax losses in either ICRC or ACTEW revenue models.</t>
  </si>
  <si>
    <t>Equivalent annual customers</t>
  </si>
  <si>
    <t>Equivalent annual fixtures</t>
  </si>
  <si>
    <t>Water - Existing Assets RAB: check closing RAB</t>
  </si>
  <si>
    <t>Sewer - Existing Assets RAB: check closing RAB</t>
  </si>
  <si>
    <t>Water - Capex RAB: check closing RAB</t>
  </si>
  <si>
    <t>Sewer - Capex RAB: check closing RAB</t>
  </si>
  <si>
    <t>Error Check Summary</t>
  </si>
  <si>
    <t>Tan Background</t>
  </si>
  <si>
    <t>Water - Capex RAB: check total RAB capex = total input capex</t>
  </si>
  <si>
    <t>Sewer - Capex RAB: check total RAB capex = total input capex</t>
  </si>
  <si>
    <t>Water - Existing Assets Tax BV: check closing tax BV</t>
  </si>
  <si>
    <t>Sewer - Existing Assets Tax BV: check closing tax BV</t>
  </si>
  <si>
    <t>Model Convergence</t>
  </si>
  <si>
    <t>Water - Price Setting: Case1</t>
  </si>
  <si>
    <t>Water - Price Setting: Case2</t>
  </si>
  <si>
    <t>Sewer - Price Setting: Case1</t>
  </si>
  <si>
    <t>Sewer - Price Setting: Case2</t>
  </si>
  <si>
    <t>Model Error Status</t>
  </si>
  <si>
    <t>Red sheet border indicates an error.  Check error flags below to debug.</t>
  </si>
  <si>
    <t>less Capital Gain on Assets</t>
  </si>
  <si>
    <t>Interest expense</t>
  </si>
  <si>
    <t>Moody's makes the following adjustments to net debt for rating purposes:
1) multiply the current operating lease rental expense by a multiple of between 4 and 10 and add the resulting figure to debt (or if the present value of the minimum lease commitments is higher, add that amount to debt instead).
A multiplier of 7 has been adopted (as the midpoint of Moody's range).</t>
  </si>
  <si>
    <t>ACTEW provided operating lease obligations for the 2014 year. A flat operating lease rental profile has been assumed in other years.</t>
  </si>
  <si>
    <t xml:space="preserve">ACTEW budgets to maintain an operating cash level of $50m each financial year. </t>
  </si>
  <si>
    <t>Demand Forecast Modelled</t>
  </si>
  <si>
    <t>Demand Forecast 1</t>
  </si>
  <si>
    <t>Label</t>
  </si>
  <si>
    <t>Cardno - 95% POE</t>
  </si>
  <si>
    <t>Cardno - 5% POE</t>
  </si>
  <si>
    <t>Demand Forecast 2</t>
  </si>
  <si>
    <t>Demand Forecast 3</t>
  </si>
  <si>
    <t>Demand Forecast 4</t>
  </si>
  <si>
    <t>ICRC</t>
  </si>
  <si>
    <t>Demand Forecast 5</t>
  </si>
  <si>
    <t>Forecast Label Lookup</t>
  </si>
  <si>
    <t>Offset</t>
  </si>
  <si>
    <t>No disposals are forecast.  Because the RAB is currently modelled as aggregates of many physical assets, any significant sset disposal would require separate analysis of impact on RAB remaining lives.  Therefore no automatic disposals functionality has been included in the model.</t>
  </si>
  <si>
    <t>ACTEW has a general debt facility across water, sewerage and energy investments. To approximate a water/sewerage only debt level, total long term debt and interest have been multiplied by the ratio of water and sewerage assets to to the total value of non-current assets. [20140916 Supporting information for Panel review RFI - question 4.xlsx ; worksheet "Borrowings, Capex"; in each year -  (values in row 40 + values in row 39) divided by values in row 41)</t>
  </si>
  <si>
    <t>Water and sewerage PPE as % of total long-term assets</t>
  </si>
  <si>
    <t>Scenario and Sensitivity Controls</t>
  </si>
  <si>
    <t>Water sales change from forecast</t>
  </si>
  <si>
    <t>These inputs allow the user to test financeability impact of differences between forecast and actual water sales. For example set an input to -10% to test the impact on revenue and financeability of a 10% reduction in water sales in that year.  Note that the inputs are automatically reset to 0% by the "set prices" macro. The sensitivity has no impact on account numbers, billable fixtures, or volume dependent O&amp;M.</t>
  </si>
  <si>
    <t>Checks</t>
  </si>
  <si>
    <t>FFO</t>
  </si>
  <si>
    <t>Regulatory Model Benchmark Debt</t>
  </si>
  <si>
    <t>Annual Change in Debt</t>
  </si>
  <si>
    <t>Financeability Test Net Debt</t>
  </si>
  <si>
    <t>Water Assets (excluding Water Security)</t>
  </si>
  <si>
    <t>801410 ECD-Dams &amp; Weirs</t>
  </si>
  <si>
    <t>801410 ECD-Dams or Weirs intake structures</t>
  </si>
  <si>
    <t>801410 ECD-Valves</t>
  </si>
  <si>
    <t>801410 ECD-Flow Meters</t>
  </si>
  <si>
    <t>801410 ECD-Pressure sensors, transmitters and meters</t>
  </si>
  <si>
    <t>801416 ECD-Dams &amp; Weirs</t>
  </si>
  <si>
    <t>801416 ECD-Dams or Weir intake structures</t>
  </si>
  <si>
    <t>801416 ECD-Valves</t>
  </si>
  <si>
    <t>801416 ECD-Flow Meters</t>
  </si>
  <si>
    <t>801416 ECD-Pressure sensors, transmitters and meters</t>
  </si>
  <si>
    <t>801411 M2G-Cathodic protections systems</t>
  </si>
  <si>
    <t>801411 M2G-Valves (Bulk)</t>
  </si>
  <si>
    <t>801411 M2G-Valves (Pump)</t>
  </si>
  <si>
    <t>801411 M2G-Flow Meters (Bulk)</t>
  </si>
  <si>
    <t>801411 M2G-Flow Meters (Pump)</t>
  </si>
  <si>
    <t>801411 M2G-Water Mains (Bulk)</t>
  </si>
  <si>
    <t>801411 M2G-Water Mains (Pump)</t>
  </si>
  <si>
    <t>801411 M2G-Telemetry (Pump)</t>
  </si>
  <si>
    <t>801411 M2G-Pump Sets (Pump)</t>
  </si>
  <si>
    <t>Sewerage Assets</t>
  </si>
  <si>
    <t>Tier 2 threshold assumed to remain constant throughout the regulatory period.  This assumption should not be changed in the model without a consequential change to the tier demand forecasts.</t>
  </si>
  <si>
    <t>ICRC specified a demand forecast for 2013/14 and 2014/15 (see ICRC final report Table 7.4, p118).  Constant growth assumed for remaining years.</t>
  </si>
  <si>
    <t>Panel Draft Decision</t>
  </si>
  <si>
    <t>Operating and maintenance cost assumptions from [Opex, other expenditure, revenue adjustments and WACC SB 27 Oct 2014.xlsx]</t>
  </si>
  <si>
    <t>Other income assumptions from [Opex, other expenditure, revenue adjustments and WACC SB 27 Oct 2014.xlsx]</t>
  </si>
  <si>
    <t>Financial assumptions from [Opex, other expenditure, revenue adjustments and WACC SB 27 Oct 2014.xlsx]</t>
  </si>
  <si>
    <t>Remaining Life</t>
  </si>
  <si>
    <t>Uriarra Tax BV</t>
  </si>
  <si>
    <t>Capital Expenditure</t>
  </si>
  <si>
    <t>Disposal</t>
  </si>
  <si>
    <t>[Not used]</t>
  </si>
  <si>
    <t>RAB for ROI Calculation</t>
  </si>
  <si>
    <t>Customers</t>
  </si>
  <si>
    <t>Convergence Error</t>
  </si>
  <si>
    <t>This sheet calculates the theoretical CSO required for ACTEW to charge Uriarra customers the normal sewerage tariff.</t>
  </si>
  <si>
    <t>Uriarra CSO Case 1</t>
  </si>
  <si>
    <t>Uriarra CSO Case 2</t>
  </si>
  <si>
    <t>Water Abstraction Charges</t>
  </si>
  <si>
    <t>Rate</t>
  </si>
  <si>
    <t>Water Release (as Multiple of Sales)</t>
  </si>
  <si>
    <t>Forecast Sales</t>
  </si>
  <si>
    <t>Forecast Releases</t>
  </si>
  <si>
    <t>Water abstraction charge assumptions from [Opex, other expenditure, revenue adjustments and WACC SB 27 Oct 2014.xlsx]</t>
  </si>
  <si>
    <t>Cotter Dam Precinct and Discovery Trail Opening RAB</t>
  </si>
  <si>
    <t>Cotter Dam Precinct and Discovery Trail Opening Tax BV</t>
  </si>
  <si>
    <t>In the CSO calculations, we assume that tax losses are immediately usable elsewhere in the business, so Uriarra customers' price includes the value of tax losses.</t>
  </si>
  <si>
    <t>Assume CSO payments are not taxable income for ACTEW.</t>
  </si>
  <si>
    <t>This sheet calculates the theoretical CSO required to compensate ACTEW for constructing the Cotter Dam precinct and discovery trail.</t>
  </si>
  <si>
    <t>This sheet calculates the theoretical CSO required to compensate ACTEW for greenhouse gas abatement activities associated with construction of the water security projects.</t>
  </si>
  <si>
    <t>Greenhouse Gas Abatement Costs Tax BV</t>
  </si>
  <si>
    <t>Greenhouse Gas Abatement Costs RAB</t>
  </si>
  <si>
    <t>Cotter Dam Precinct and Discovery Trail CSO</t>
  </si>
  <si>
    <t>Greenhouse Gas Abatement Costs CSO</t>
  </si>
  <si>
    <t>Model Convergence Status for Formating</t>
  </si>
  <si>
    <t>Model Convergence Status for Macro</t>
  </si>
  <si>
    <t>Uriarra RAB</t>
  </si>
  <si>
    <t>Opening RAB and remaining life from [Opening RAB values kl 15 Oct 2014.xlsx]Opening RAB Calculations.</t>
  </si>
  <si>
    <t>Uriarra opex from [Opex, other expenditure, revenue adjustments and WACC SB 27 Oct 2014.xlsx]Opex.</t>
  </si>
  <si>
    <t>The price setting macro sets a the Uriarra CSO so that Uriarra customers pay the normal sewerage price.</t>
  </si>
  <si>
    <t>The price setting macro sets a the CSO so that total target revenue is zero in each year.</t>
  </si>
  <si>
    <t xml:space="preserve">Tax values from ACTEW's SOFC PTRMs (ammended by KL and SB).  See [Attachment A1 PTRM FY14-FY18 Water_amended 18sept2014.xlsm]Input and [Attachment A2 PTRM FY14-FY18 Sewerage_amended 18sept2014.xlsm]Input.  </t>
  </si>
  <si>
    <t>Capital expenditure forecast inputs from [Capex and asset lives for forecast capex 17 Oct.xlsx]Pasted Data for Price Model.</t>
  </si>
  <si>
    <t>Data for finaceability tests from ACTEW.  See 20140916 Supporting information for Panel review RFI - question 4.xlsx and 20140916 Request for further information - Question 4_FINAL.pdf.</t>
  </si>
  <si>
    <t xml:space="preserve">Moody's adjusts tax paid for the adjustments made to interest and depreciation expenses identified above.
1) classify one third of the rent expense to interest expense.
2) increase interest expense by the amount of capitalised interest during the current period.
</t>
  </si>
  <si>
    <t>Scenario Options</t>
  </si>
  <si>
    <t>Demand Forecast</t>
  </si>
  <si>
    <t>WACC Parameters</t>
  </si>
  <si>
    <t>Price Path</t>
  </si>
  <si>
    <t>Panel WACC parameters</t>
  </si>
  <si>
    <t>ACTEW SOFC WACC parameters</t>
  </si>
  <si>
    <t>ACTEW SOFC</t>
  </si>
  <si>
    <t>Price Path Opions</t>
  </si>
  <si>
    <t>Set P0 for constant real price</t>
  </si>
  <si>
    <t>Set smoothed price (P0 = X)</t>
  </si>
  <si>
    <t xml:space="preserve">Custom P0, set X </t>
  </si>
  <si>
    <t>Price Path Code</t>
  </si>
  <si>
    <t>Price Path Code Lookup</t>
  </si>
  <si>
    <t>ICRC WACC Parameters</t>
  </si>
  <si>
    <t>General Inflation</t>
  </si>
  <si>
    <t>RAB Inflation Escalation</t>
  </si>
  <si>
    <t>Proportion of Water Security Asset Costs Deferred</t>
  </si>
  <si>
    <t>Opening value of the RAB</t>
  </si>
  <si>
    <t>Capital expenditure</t>
  </si>
  <si>
    <t>Disposals/assets written off</t>
  </si>
  <si>
    <t>Indexation</t>
  </si>
  <si>
    <t>Closing value of the RAB</t>
  </si>
  <si>
    <t>ACTEW implied prices from [ACTEW Prices Implied by SOFC and Water Sales Forecasts - ACTEW updates 14Oct2014.xlsm]Implied Prices</t>
  </si>
  <si>
    <t>Set P0 for constant nominal price</t>
  </si>
  <si>
    <t>Asset Remaining Economic Life</t>
  </si>
  <si>
    <t>The Panel Draft Decision assumes constant nominal water prices over next 3 years.  Sewerage price path set with a small P0, then CPI escalation.  For the hypothical prices from 2013/14, the Panel has adopted a smoothed price path for water (P0=X), and a constant real price path for sewerage (set P0 such that X=0).</t>
  </si>
  <si>
    <t>Assume opening tax book value is the sum of capital expenditure in the last regulatory period.  Value from [Opening RAB values kl 15 Oct 2014.xlsx]Capex in last reg period.  Assume tax life equals RAB life.</t>
  </si>
  <si>
    <t>ICRC asset lives for ECD and sewerage assets from [Pricing_model_2013-15_FINAL.xlsm]5b Projected RAB.  ICRC life for other water assets from [Att2_Pricing_model_2013-19 depreciation - measures effect of errors.xlsm]5b Forecast RAB Errors Correcte.</t>
  </si>
  <si>
    <t>Deferred RAB</t>
  </si>
  <si>
    <t>Interest</t>
  </si>
  <si>
    <t>Water subvention amounts from Ben McNair email to Katherine Lowe, 10 Oct 2014.</t>
  </si>
  <si>
    <t>Regulatory Income Statement</t>
  </si>
  <si>
    <t>Modelled Cash Flows to Government</t>
  </si>
  <si>
    <t>ACTEW Dividends</t>
  </si>
  <si>
    <t>Tax Equivalents</t>
  </si>
  <si>
    <t>less modelled CSOs</t>
  </si>
  <si>
    <t>Operations and Maintenance</t>
  </si>
  <si>
    <t>Regulatory Cash Flow Statement</t>
  </si>
  <si>
    <t>Tariff and Other Revenue</t>
  </si>
  <si>
    <t>Tax Paid</t>
  </si>
  <si>
    <t>Cash Flows from Operations</t>
  </si>
  <si>
    <t>Cash Flows from Investing</t>
  </si>
  <si>
    <t>Sale of Assets</t>
  </si>
  <si>
    <t>Purchase of Assets</t>
  </si>
  <si>
    <t>Cash Flows from Financing</t>
  </si>
  <si>
    <t>Interest Paid</t>
  </si>
  <si>
    <t>Net Borrowings</t>
  </si>
  <si>
    <t>Dividends Paid</t>
  </si>
  <si>
    <t>Net Cash Flow</t>
  </si>
  <si>
    <t>Regulatory Balance Sheet</t>
  </si>
  <si>
    <t>Assets</t>
  </si>
  <si>
    <t>Cash</t>
  </si>
  <si>
    <t>Debt</t>
  </si>
  <si>
    <t>Equity</t>
  </si>
  <si>
    <t>Total Volume</t>
  </si>
  <si>
    <t>Average Volume</t>
  </si>
  <si>
    <t>Difference from Cardno Central</t>
  </si>
  <si>
    <t>(kL 5 years)</t>
  </si>
  <si>
    <t>Average Life</t>
  </si>
  <si>
    <t>Opening Depreciation</t>
  </si>
  <si>
    <t>True Up Amount</t>
  </si>
  <si>
    <t>This section calculates simplified finacial statements based on regulatory model assumptions.  Values do not proport to be forecast actual values for EBIT, cash flows, dividends, etc.  The analysis is only used to identify trends and potential issues.</t>
  </si>
  <si>
    <t>"Case 1" sets prices over the full five years of the regulatory period.  This represents the price path the Panel might have set if it were making the decision in 2012 (but with updated volume and capex forecasts).  This is the "no true up" case.</t>
  </si>
  <si>
    <t>"Case 2" accets ICRC prices for the first two years and sets prices over the remaining three years of the regulatory period to recover the NPV of revenue requirements over the full regulatory period.   This is the "true up" case.</t>
  </si>
  <si>
    <t>(kL p.a.)</t>
  </si>
  <si>
    <t>Demand Forecast 6</t>
  </si>
  <si>
    <t>Year 4 Capex</t>
  </si>
  <si>
    <t>Year 5 Capex</t>
  </si>
  <si>
    <t>Value</t>
  </si>
  <si>
    <t>Life</t>
  </si>
  <si>
    <t>2013 Water Security Capex</t>
  </si>
  <si>
    <t>Cardno Capex Adjustment</t>
  </si>
  <si>
    <t>Recognising Demand Charged at t-1 Price</t>
  </si>
  <si>
    <t>Demand at Tier 1 price (t-1)</t>
  </si>
  <si>
    <t>Demand at Tier 2 price (t-1)</t>
  </si>
  <si>
    <t>Adjustment Option 1</t>
  </si>
  <si>
    <t>Adjustment Option 2</t>
  </si>
  <si>
    <t>ICRC Adjustment</t>
  </si>
  <si>
    <t>Tier 1 Demand Charged at t-1 Price</t>
  </si>
  <si>
    <t>Tier 2 Demand Charged at t-1 Price</t>
  </si>
  <si>
    <t>Option Label Lookup</t>
  </si>
  <si>
    <t>Panel Final Decision</t>
  </si>
  <si>
    <t>ACTEW - Updated</t>
  </si>
  <si>
    <t>Cardno briefing note, 18 Feb 2015, p12.</t>
  </si>
  <si>
    <t>Panel Draft Decision forecast from Draft Decision Report, chapter 13 and Cardno forecast model (Modelv5.xls) as at 27 Oct 2014.</t>
  </si>
  <si>
    <t>Opening RAB Value</t>
  </si>
  <si>
    <t xml:space="preserve">Opening RAB and RAB remaining life for Draft Report from [Opening RAB values kl 15 Oct 2014.xlsx]Inputs for Pricing Model.  Opening RAB and RAB remaining life for Final Report from [Opening RAB values and asset lives 10 Feb 2015.xlsx]Inputs for Pricing Model.  </t>
  </si>
  <si>
    <t>Year 4 Capital Expenditure</t>
  </si>
  <si>
    <t>Nominal Value</t>
  </si>
  <si>
    <t>Year 5 Capital Expenditure</t>
  </si>
  <si>
    <t>Allocation of Cardno Reduction</t>
  </si>
  <si>
    <t>This worksheet allocated Carndo's recommended $10m capex reductions in Year 4 and Year 5 of the regulatory period into Water RAB and Sewer RAB "projects".  This methodology is mathematically equivaent to scaling all projects to deliver the required reuction.</t>
  </si>
  <si>
    <t>Carndo Year 4 Reduction</t>
  </si>
  <si>
    <t>Carndo Year 5 Reduction</t>
  </si>
  <si>
    <t>Water Controllable Opex updated for Final Report.  See [Corrected Opex, other expenditure, revenue adjustments and WACC Feb 2015.xlsx]Opex row 4.</t>
  </si>
  <si>
    <t>Panel Final Decision - Include</t>
  </si>
  <si>
    <t>ACTEW Feb 2015</t>
  </si>
  <si>
    <t>The Panel Final Decision assumes a P0 and then constant real water and sewerage prices over the regulatory period (Case 1) or next 3 years (Case 2).  The Case 1 P0s for water differ by tariff component so that the 2015/16 price change is the same for all components.</t>
  </si>
  <si>
    <t>NPV of Water Sales Revenue Case 1</t>
  </si>
  <si>
    <t xml:space="preserve">ICRC's modelling adjusts for the fact that bills in the first quarter of a financial year have consumpution pro-rated into financial years, with consumption charged at the rate prevailing in each year.  The Panel did not include this adjustment in the draft decision (based on the assumption that Carndo was forecasting quanities in financial years). </t>
  </si>
  <si>
    <t>Not used.</t>
  </si>
  <si>
    <t>Industry Panel Review - Price Model</t>
  </si>
  <si>
    <t>This workbook provides a number of interlinked worksheets, that together form the model used by the Industry Panel to set water and sewerage prices under their final substituted price direction. It includes macro functions that allow for the dynamic setting of prices under the assumptions of the model, following any adjustments that are made by the user.</t>
  </si>
  <si>
    <t>Worksheet Number</t>
  </si>
  <si>
    <t>Name of Worksheet</t>
  </si>
  <si>
    <t>Description of Worksheet</t>
  </si>
  <si>
    <t>Introduction</t>
  </si>
  <si>
    <t>Provides an introduction to the workbook and an index and description of contents of each worksheet.</t>
  </si>
  <si>
    <t>Notes and Assumptions</t>
  </si>
  <si>
    <t>General Model Inputs</t>
  </si>
  <si>
    <t>This outlines the key inputs used within the worksheets of this workbook, around issues such as  and inputs for each of the scenarios Weighted Average Cost of Capital Parameters, Water Demand and Pricing Structures.</t>
  </si>
  <si>
    <t>Cardno Capital expenditure (Capex) Reduction</t>
  </si>
  <si>
    <t>Provides data on the Cardno recommendation for a reduction in overall allowed Capital Expenditure for 2016-17 and 2017-18.</t>
  </si>
  <si>
    <t>Demand Forecast input</t>
  </si>
  <si>
    <t>Outlines the demand forecast inputs for water demand by customers over the regulatory period.</t>
  </si>
  <si>
    <t>Prior Year Price Adjustment</t>
  </si>
  <si>
    <t>Provides the data used to make the adjustment to overall prices tok take into account the impact of demand that is charged at previous years prices.</t>
  </si>
  <si>
    <t>Uriarra Community Service Obligation (CSO) Calculation</t>
  </si>
  <si>
    <t>Incorporates the data and calculations made in relation to the treatment of the Uriarra project as a Community Service Obligation.</t>
  </si>
  <si>
    <t>Discovery Trail Community Service Obligation (CSO) Calculation</t>
  </si>
  <si>
    <t>Incorporates the data and calculations made in relation to the treatment of the Discovery Trail project as a Community Service Obligation.</t>
  </si>
  <si>
    <t>Gas Abatement Community Service Obligation (CSO) Calculation</t>
  </si>
  <si>
    <t>Incorporates the data and calculations made in relation to the treatment of the Greenhouse Gas Abatement project as a Community Service Obligation.</t>
  </si>
  <si>
    <t>Provides details of the existing water assets, depreciation information and Regulatory Asset Base values.</t>
  </si>
  <si>
    <t>Water - Capital Expenditure (Capex) Input</t>
  </si>
  <si>
    <t>Provides details of water assets capital expenditure and useful lives of the assets.</t>
  </si>
  <si>
    <t>Water - Existing Assets Regulatory Asset Base (RAB)</t>
  </si>
  <si>
    <t>Data and information in relation to the calculation of the regulatory asset base for existing water assets</t>
  </si>
  <si>
    <t>Data, information and calculations in relation to the capital expenditure regulatory asset base for water assets.</t>
  </si>
  <si>
    <t>Water - Existing Assets Tax Book Value (BV)</t>
  </si>
  <si>
    <t>Data and information about existing water assets in relation to tax book value calculations within the overall pricing model.</t>
  </si>
  <si>
    <t>Water - Capital Expenditure (Capex) Tax Book Value (BV)</t>
  </si>
  <si>
    <t>Provides data and information, as well as calculations around the tax book value of capital expenditure for water assets</t>
  </si>
  <si>
    <t>Water - MAR</t>
  </si>
  <si>
    <t>Provides information about the calculation of required revenues, as well as derivations of tax calculations in relation to water assets.</t>
  </si>
  <si>
    <t>Water - Price Setting</t>
  </si>
  <si>
    <t>Calculates, using a macro function, prices for water based upon the other input collated from the various other worksheets.</t>
  </si>
  <si>
    <t>Sewer - Existing Assets Input</t>
  </si>
  <si>
    <t>Information about existing sewerage assets, including whether they are included in the regulatory asset base.</t>
  </si>
  <si>
    <t>Sewer - Capital Expenditure (Capex) Input</t>
  </si>
  <si>
    <t>Provides detail on Sewerage Capital Expenditure Input, in regards to calculations around useful lives of the assets and depreciation.</t>
  </si>
  <si>
    <t>Sewer - Existing Assets Regulatory Asset Base (RAB)</t>
  </si>
  <si>
    <t>Provides details around the caluclation of the regulatory asset base for existing sewerage assets.</t>
  </si>
  <si>
    <t>Sewer - Capital Expenditure (Capex) Regulatory Asset Base (RAB)</t>
  </si>
  <si>
    <t>Provides details around the caluclation of the regulatory asset base for capital expenditure sewerage assets.</t>
  </si>
  <si>
    <t>Sewer - Existing Assets Tax Book Value (BV)</t>
  </si>
  <si>
    <t>Provides details and calculations around the book value for taxation purposes of existing sewerage assets.</t>
  </si>
  <si>
    <t>Sewer - Capital Expenditure (Capex) Tax Book Value (BV)</t>
  </si>
  <si>
    <t>Provides details and calculations around the book value for taxation purposes of capital expenditure related to sewerage assets.</t>
  </si>
  <si>
    <t>Sewer - MAR</t>
  </si>
  <si>
    <t>Provides information about the calculation of required revenues, as well as derivations of tax calculations in relation to sewerage assets.</t>
  </si>
  <si>
    <t>Sewer - Price Setting</t>
  </si>
  <si>
    <t>Calculates, using a macro function, prices for sewerage based upon the other input collated from the various other worksheets.</t>
  </si>
  <si>
    <t>Financeability Tests Case 1</t>
  </si>
  <si>
    <t>Provides data and calculations around a set of financeability tests for the regulated utilities under Case 1 assumptions</t>
  </si>
  <si>
    <t>Financeability Tests Case 2</t>
  </si>
  <si>
    <t>Provides data and calculations around a set of financeability tests for the regulated utilities under Case 2 assumptions.</t>
  </si>
  <si>
    <t>Bill Impact - Case 1</t>
  </si>
  <si>
    <t>Shows details around estimated water bills and combined average bills for water and sewerage under Case 1 assumptions</t>
  </si>
  <si>
    <t>Bill Impact - Case 2</t>
  </si>
  <si>
    <t>Shows details around estimated water bills and combined average bills for water and sewerage under Case 2 assumptions</t>
  </si>
  <si>
    <t>Water - Existing Assets Input</t>
  </si>
  <si>
    <t>Water - Capital Expenditure (CAPEX) - Regulatory Asset Base (RAB)</t>
  </si>
  <si>
    <t>Orange check sheet boarder indicates that the price setting macro needs to be run.</t>
  </si>
  <si>
    <t>Indicates cell value selected from a list of options.</t>
  </si>
  <si>
    <t>Corporate Tax Rate</t>
  </si>
  <si>
    <t>Sales to QCC and other income</t>
  </si>
  <si>
    <t>Forecast water supply charges</t>
  </si>
  <si>
    <t>Forecast sewerage supply charges</t>
  </si>
  <si>
    <t>less Community Service Obligation Income</t>
  </si>
  <si>
    <t>Opening Asset RAV with No Deferral</t>
  </si>
  <si>
    <t>Panel Draft Decision - Exclude</t>
  </si>
  <si>
    <t>Demand at Tier 1 price (t)</t>
  </si>
  <si>
    <t>Demand at Tier 2 price (t)</t>
  </si>
  <si>
    <t>Operating lease rentals expense</t>
  </si>
  <si>
    <t>FFO interest cover (target for Baa2 =&gt; 1.7x - 2.5x; higher is better)</t>
  </si>
  <si>
    <t>Net debt to RAB (target for Baa2 =&gt; 60%-91%; lower is better)</t>
  </si>
  <si>
    <t>FFO to net debt (target for Baa2 =&gt; 6-10%; higher is better)</t>
  </si>
  <si>
    <t>Retained cash flow to capex (target for Ba =&gt; 0.5x - 1.0x; higher is better)</t>
  </si>
  <si>
    <t>Blue Background</t>
  </si>
  <si>
    <t>This page provides an index and description of the worksheets contained within the model.</t>
  </si>
  <si>
    <t>Error checks show "0" for no error (see below)</t>
  </si>
  <si>
    <t>Model convergence checks show "0" when NPV of forecast revenue equals NPV of target revenue (See below)</t>
  </si>
  <si>
    <t>Uriarra customer count for 2013/14 and 2104/15 from ICRC's pricing model.</t>
  </si>
  <si>
    <t>Price setting macro finishes when model convergence variable equals "TRUE". (See Below)</t>
  </si>
  <si>
    <t>Data for calculating the demand in each bill year is from the ICRC's price model, with data contained in Worksheet 8 - Demand Forecast.</t>
  </si>
  <si>
    <t>Proportion of annual consumption in each quarter assumed to be constant for all consumption levels.  See worksheet 10 of the ICRC's pricing model - Customer impacts</t>
  </si>
  <si>
    <t>ACTEW Feb 2015 Contentions</t>
  </si>
  <si>
    <t>Error Checking/Model Convergance</t>
  </si>
  <si>
    <t>Purple Background</t>
  </si>
  <si>
    <t>Provides the list of notes referenced to throughout the worksheets, as well as a legend of key coding throughout the document, the master functional button to run the pricing model macro, and the error check mechanism for the macro.</t>
  </si>
  <si>
    <t>The 2014-15 Water and Sewerage Schedule of Charges are available here (PDF 518kb)</t>
  </si>
  <si>
    <t xml:space="preserve">2013-14 Water and Sewerage Schedule of Charges are available here </t>
  </si>
  <si>
    <t>The ICRC's model is available here (XLS, 489kb, 14 worksheets)</t>
  </si>
  <si>
    <t>General Formatting provisions</t>
  </si>
  <si>
    <t>Introduction and Index</t>
  </si>
  <si>
    <t>Index</t>
  </si>
  <si>
    <t>Description</t>
  </si>
  <si>
    <t>Column A of all worksheets (excluding the Introduction and Index) contains references to specific notes quoted within that worksheet. Column Headers Begin on all worksheets in Row 3, whilst row headers/descriptions in general begin in Column B on all worksheets</t>
  </si>
  <si>
    <t>Support with Accessibility</t>
  </si>
  <si>
    <t>Should you experience problems accessing the information or functions of these spreadsheets, please contact the Industry Panel Secretariat on (02) 62076128, or via email at industrypanel@act.gov.au, and we will attempt to remedy any issues you may encounter with these worksheets.</t>
  </si>
</sst>
</file>

<file path=xl/styles.xml><?xml version="1.0" encoding="utf-8"?>
<styleSheet xmlns="http://schemas.openxmlformats.org/spreadsheetml/2006/main">
  <numFmts count="10">
    <numFmt numFmtId="43" formatCode="_-* #,##0.00_-;\-* #,##0.00_-;_-* &quot;-&quot;??_-;_-@_-"/>
    <numFmt numFmtId="164" formatCode="&quot;Note [&quot;#&quot;]&quot;"/>
    <numFmt numFmtId="165" formatCode="0.0%"/>
    <numFmt numFmtId="166" formatCode="_-* #,##0_-;\-* #,##0_-;_-* &quot;-&quot;??_-;_-@_-"/>
    <numFmt numFmtId="167" formatCode="0_ ;\-0\ "/>
    <numFmt numFmtId="168" formatCode="0.00&quot; x&quot;"/>
    <numFmt numFmtId="169" formatCode="0.0&quot; x&quot;"/>
    <numFmt numFmtId="170" formatCode="_-* #,##0.000_-;\-* #,##0.000_-;_-* &quot;-&quot;??_-;_-@_-"/>
    <numFmt numFmtId="171" formatCode="_(* #,##0.0_);_(* \(#,##0.0\);_(* &quot;-&quot;?_);_(@_)"/>
    <numFmt numFmtId="172" formatCode="#,##0.000"/>
  </numFmts>
  <fonts count="27">
    <font>
      <sz val="12"/>
      <color theme="1"/>
      <name val="Arial"/>
      <family val="2"/>
      <charset val="204"/>
    </font>
    <font>
      <sz val="12"/>
      <color theme="1"/>
      <name val="Arial"/>
      <family val="2"/>
    </font>
    <font>
      <sz val="12"/>
      <color theme="1"/>
      <name val="Arial"/>
      <family val="2"/>
    </font>
    <font>
      <u/>
      <sz val="12"/>
      <color theme="10"/>
      <name val="Arial"/>
      <family val="2"/>
    </font>
    <font>
      <u/>
      <sz val="12"/>
      <color theme="11"/>
      <name val="Arial"/>
      <family val="2"/>
    </font>
    <font>
      <sz val="12"/>
      <color rgb="FF000000"/>
      <name val="Lucida Grande"/>
    </font>
    <font>
      <sz val="10"/>
      <name val="Arial"/>
      <family val="2"/>
    </font>
    <font>
      <sz val="8"/>
      <name val="Arial"/>
      <family val="2"/>
    </font>
    <font>
      <sz val="9"/>
      <name val="Arial"/>
      <family val="2"/>
    </font>
    <font>
      <b/>
      <sz val="12"/>
      <name val="Arial"/>
      <family val="2"/>
    </font>
    <font>
      <b/>
      <u/>
      <sz val="12"/>
      <color theme="1"/>
      <name val="Arial"/>
      <family val="2"/>
    </font>
    <font>
      <u/>
      <sz val="12"/>
      <color theme="1"/>
      <name val="Arial"/>
      <family val="2"/>
    </font>
    <font>
      <b/>
      <sz val="14"/>
      <name val="Arial"/>
      <family val="2"/>
    </font>
    <font>
      <sz val="12"/>
      <color rgb="FF008000"/>
      <name val="Arial"/>
      <family val="2"/>
    </font>
    <font>
      <sz val="12"/>
      <color rgb="FFCCFFCC"/>
      <name val="Arial"/>
      <family val="2"/>
    </font>
    <font>
      <b/>
      <sz val="12"/>
      <color theme="1"/>
      <name val="Arial"/>
      <family val="2"/>
    </font>
    <font>
      <sz val="12"/>
      <color rgb="FF0000FF"/>
      <name val="Arial"/>
      <family val="2"/>
    </font>
    <font>
      <sz val="10"/>
      <color rgb="FF0000FF"/>
      <name val="Arial"/>
      <family val="2"/>
    </font>
    <font>
      <b/>
      <sz val="12"/>
      <color rgb="FF0000FF"/>
      <name val="Arial"/>
      <family val="2"/>
    </font>
    <font>
      <sz val="10"/>
      <color indexed="12"/>
      <name val="Arial"/>
      <family val="2"/>
    </font>
    <font>
      <sz val="12"/>
      <name val="Arial"/>
      <family val="2"/>
    </font>
    <font>
      <sz val="12"/>
      <color indexed="12"/>
      <name val="Arial"/>
      <family val="2"/>
    </font>
    <font>
      <b/>
      <i/>
      <sz val="12"/>
      <color theme="1"/>
      <name val="Arial"/>
      <family val="2"/>
    </font>
    <font>
      <sz val="12"/>
      <color indexed="10"/>
      <name val="Arial"/>
      <family val="2"/>
    </font>
    <font>
      <sz val="12"/>
      <color rgb="FF000000"/>
      <name val="Arial"/>
      <family val="2"/>
    </font>
    <font>
      <sz val="12"/>
      <color theme="0" tint="-0.249977111117893"/>
      <name val="Arial"/>
      <family val="2"/>
    </font>
    <font>
      <u/>
      <sz val="12"/>
      <color theme="10"/>
      <name val="Arial"/>
      <family val="2"/>
      <charset val="204"/>
    </font>
  </fonts>
  <fills count="9">
    <fill>
      <patternFill patternType="none"/>
    </fill>
    <fill>
      <patternFill patternType="gray125"/>
    </fill>
    <fill>
      <patternFill patternType="solid">
        <fgColor theme="9" tint="0.59999389629810485"/>
        <bgColor indexed="64"/>
      </patternFill>
    </fill>
    <fill>
      <patternFill patternType="solid">
        <fgColor rgb="FFFF0000"/>
        <bgColor indexed="64"/>
      </patternFill>
    </fill>
    <fill>
      <patternFill patternType="solid">
        <fgColor indexed="22"/>
        <bgColor indexed="64"/>
      </patternFill>
    </fill>
    <fill>
      <patternFill patternType="darkGrid">
        <fgColor theme="0"/>
        <bgColor rgb="FFFF6600"/>
      </patternFill>
    </fill>
    <fill>
      <patternFill patternType="solid">
        <fgColor theme="7" tint="0.59999389629810485"/>
        <bgColor indexed="64"/>
      </patternFill>
    </fill>
    <fill>
      <patternFill patternType="solid">
        <fgColor theme="3" tint="0.59999389629810485"/>
        <bgColor indexed="64"/>
      </patternFill>
    </fill>
    <fill>
      <patternFill patternType="solid">
        <fgColor theme="3" tint="0.59999389629810485"/>
        <bgColor rgb="FF000000"/>
      </patternFill>
    </fill>
  </fills>
  <borders count="19">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2556">
    <xf numFmtId="0" fontId="0" fillId="0" borderId="0"/>
    <xf numFmtId="43" fontId="2"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9" fontId="1"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6" fillId="0" borderId="0"/>
    <xf numFmtId="9" fontId="6"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171" fontId="8" fillId="4" borderId="7" applyFont="0" applyBorder="0" applyAlignment="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26" fillId="0" borderId="0" applyNumberFormat="0" applyFill="0" applyBorder="0" applyAlignment="0" applyProtection="0">
      <alignment vertical="top"/>
      <protection locked="0"/>
    </xf>
  </cellStyleXfs>
  <cellXfs count="197">
    <xf numFmtId="0" fontId="0" fillId="0" borderId="0" xfId="0"/>
    <xf numFmtId="0" fontId="9" fillId="0" borderId="0" xfId="0" applyFont="1" applyFill="1" applyAlignment="1">
      <alignment wrapText="1"/>
    </xf>
    <xf numFmtId="0" fontId="1" fillId="0" borderId="0" xfId="0" applyFont="1"/>
    <xf numFmtId="0" fontId="1" fillId="0" borderId="0" xfId="0" applyFont="1" applyFill="1" applyAlignment="1">
      <alignment vertical="top" wrapText="1"/>
    </xf>
    <xf numFmtId="0" fontId="11" fillId="0" borderId="0" xfId="0" applyFont="1"/>
    <xf numFmtId="0" fontId="1" fillId="0" borderId="0" xfId="0" applyFont="1" applyAlignment="1">
      <alignment horizontal="center"/>
    </xf>
    <xf numFmtId="0" fontId="1" fillId="0" borderId="0" xfId="0" applyFont="1" applyFill="1"/>
    <xf numFmtId="0" fontId="1" fillId="0" borderId="0" xfId="0" applyFont="1" applyFill="1" applyAlignment="1">
      <alignment horizontal="left" vertical="top"/>
    </xf>
    <xf numFmtId="0" fontId="1" fillId="0" borderId="0" xfId="0" applyFont="1" applyFill="1" applyAlignment="1">
      <alignment wrapText="1"/>
    </xf>
    <xf numFmtId="0" fontId="9" fillId="0" borderId="0" xfId="0" applyFont="1" applyFill="1" applyAlignment="1">
      <alignment horizontal="left" vertical="top"/>
    </xf>
    <xf numFmtId="0" fontId="15" fillId="0" borderId="0" xfId="0" applyFont="1"/>
    <xf numFmtId="164" fontId="17" fillId="0" borderId="0" xfId="0" applyNumberFormat="1" applyFont="1" applyFill="1" applyAlignment="1">
      <alignment horizontal="left" vertical="top"/>
    </xf>
    <xf numFmtId="0" fontId="16" fillId="0" borderId="0" xfId="0" applyFont="1"/>
    <xf numFmtId="3" fontId="16" fillId="0" borderId="0" xfId="0" applyNumberFormat="1" applyFont="1"/>
    <xf numFmtId="3" fontId="16" fillId="0" borderId="0" xfId="0" applyNumberFormat="1" applyFont="1" applyAlignment="1">
      <alignment horizontal="center"/>
    </xf>
    <xf numFmtId="164" fontId="19" fillId="0" borderId="0" xfId="0" applyNumberFormat="1" applyFont="1" applyFill="1" applyAlignment="1">
      <alignment horizontal="left" vertical="top"/>
    </xf>
    <xf numFmtId="0" fontId="1" fillId="0" borderId="2" xfId="0" applyFont="1" applyFill="1" applyBorder="1" applyAlignment="1">
      <alignment horizontal="right"/>
    </xf>
    <xf numFmtId="0" fontId="1" fillId="0" borderId="2" xfId="0" applyFont="1" applyBorder="1"/>
    <xf numFmtId="0" fontId="1" fillId="0" borderId="3" xfId="0" applyFont="1" applyFill="1" applyBorder="1" applyAlignment="1">
      <alignment horizontal="right"/>
    </xf>
    <xf numFmtId="0" fontId="1" fillId="0" borderId="3" xfId="0" applyFont="1" applyBorder="1" applyAlignment="1">
      <alignment horizontal="right"/>
    </xf>
    <xf numFmtId="0" fontId="1" fillId="0" borderId="0" xfId="0" applyFont="1" applyFill="1" applyBorder="1" applyAlignment="1">
      <alignment horizontal="right"/>
    </xf>
    <xf numFmtId="0" fontId="1" fillId="0" borderId="0" xfId="0" applyFont="1" applyBorder="1" applyAlignment="1">
      <alignment horizontal="right"/>
    </xf>
    <xf numFmtId="0" fontId="9" fillId="0" borderId="0" xfId="0" applyFont="1"/>
    <xf numFmtId="10" fontId="1" fillId="0" borderId="0" xfId="444" applyNumberFormat="1" applyFont="1"/>
    <xf numFmtId="165" fontId="1" fillId="0" borderId="0" xfId="444" applyNumberFormat="1" applyFont="1"/>
    <xf numFmtId="4" fontId="1" fillId="0" borderId="0" xfId="0" applyNumberFormat="1" applyFont="1"/>
    <xf numFmtId="0" fontId="15" fillId="0" borderId="4" xfId="0" applyFont="1" applyBorder="1"/>
    <xf numFmtId="0" fontId="15" fillId="0" borderId="5" xfId="0" applyFont="1" applyBorder="1" applyAlignment="1">
      <alignment horizontal="right"/>
    </xf>
    <xf numFmtId="0" fontId="1" fillId="0" borderId="6" xfId="0" applyFont="1" applyBorder="1"/>
    <xf numFmtId="0" fontId="1" fillId="0" borderId="8" xfId="0" applyFont="1" applyBorder="1"/>
    <xf numFmtId="3" fontId="1" fillId="0" borderId="0" xfId="0" applyNumberFormat="1" applyFont="1"/>
    <xf numFmtId="3" fontId="20" fillId="0" borderId="0" xfId="1" applyNumberFormat="1" applyFont="1" applyFill="1"/>
    <xf numFmtId="3" fontId="20" fillId="0" borderId="2" xfId="1" applyNumberFormat="1" applyFont="1" applyFill="1" applyBorder="1"/>
    <xf numFmtId="3" fontId="20" fillId="0" borderId="0" xfId="1" applyNumberFormat="1" applyFont="1" applyFill="1" applyBorder="1"/>
    <xf numFmtId="9" fontId="1" fillId="0" borderId="0" xfId="0" applyNumberFormat="1" applyFont="1"/>
    <xf numFmtId="164" fontId="16" fillId="0" borderId="0" xfId="0" applyNumberFormat="1" applyFont="1" applyFill="1" applyAlignment="1">
      <alignment horizontal="left" vertical="top"/>
    </xf>
    <xf numFmtId="164" fontId="21" fillId="0" borderId="0" xfId="0" applyNumberFormat="1" applyFont="1" applyFill="1" applyAlignment="1">
      <alignment horizontal="left" vertical="top"/>
    </xf>
    <xf numFmtId="2" fontId="1" fillId="0" borderId="0" xfId="0" applyNumberFormat="1" applyFont="1" applyFill="1" applyBorder="1" applyAlignment="1">
      <alignment horizontal="right" wrapText="1"/>
    </xf>
    <xf numFmtId="3" fontId="1" fillId="0" borderId="0" xfId="0" applyNumberFormat="1" applyFont="1" applyFill="1" applyBorder="1" applyAlignment="1">
      <alignment horizontal="right"/>
    </xf>
    <xf numFmtId="3" fontId="1" fillId="0" borderId="1" xfId="0" applyNumberFormat="1" applyFont="1" applyFill="1" applyBorder="1" applyAlignment="1">
      <alignment horizontal="right"/>
    </xf>
    <xf numFmtId="0" fontId="16" fillId="0" borderId="0" xfId="0" applyFont="1" applyAlignment="1">
      <alignment horizontal="center"/>
    </xf>
    <xf numFmtId="172" fontId="1" fillId="0" borderId="0" xfId="0" applyNumberFormat="1" applyFont="1"/>
    <xf numFmtId="165" fontId="16" fillId="0" borderId="0" xfId="444" applyNumberFormat="1" applyFont="1" applyAlignment="1">
      <alignment horizontal="center"/>
    </xf>
    <xf numFmtId="10" fontId="20" fillId="0" borderId="0" xfId="0" applyNumberFormat="1" applyFont="1" applyFill="1"/>
    <xf numFmtId="9" fontId="20" fillId="0" borderId="0" xfId="0" applyNumberFormat="1" applyFont="1" applyFill="1"/>
    <xf numFmtId="2" fontId="1" fillId="0" borderId="0" xfId="0" applyNumberFormat="1" applyFont="1"/>
    <xf numFmtId="3" fontId="1" fillId="0" borderId="0" xfId="1" applyNumberFormat="1" applyFont="1" applyFill="1"/>
    <xf numFmtId="0" fontId="22" fillId="0" borderId="0" xfId="0" applyFont="1"/>
    <xf numFmtId="3" fontId="1" fillId="0" borderId="1" xfId="0" applyNumberFormat="1" applyFont="1" applyBorder="1"/>
    <xf numFmtId="3" fontId="15" fillId="0" borderId="0" xfId="0" applyNumberFormat="1" applyFont="1" applyAlignment="1">
      <alignment horizontal="center"/>
    </xf>
    <xf numFmtId="0" fontId="1" fillId="0" borderId="0" xfId="0" applyFont="1" applyBorder="1"/>
    <xf numFmtId="0" fontId="1" fillId="0" borderId="2" xfId="0" applyFont="1" applyBorder="1" applyAlignment="1">
      <alignment vertical="top"/>
    </xf>
    <xf numFmtId="0" fontId="1" fillId="0" borderId="2" xfId="0" applyFont="1" applyBorder="1" applyAlignment="1">
      <alignment horizontal="right" vertical="top" wrapText="1"/>
    </xf>
    <xf numFmtId="0" fontId="1" fillId="0" borderId="3" xfId="0" applyFont="1" applyBorder="1"/>
    <xf numFmtId="166" fontId="20" fillId="0" borderId="0" xfId="1" applyNumberFormat="1" applyFont="1" applyFill="1"/>
    <xf numFmtId="166" fontId="16" fillId="0" borderId="0" xfId="1" applyNumberFormat="1" applyFont="1" applyFill="1"/>
    <xf numFmtId="0" fontId="1" fillId="0" borderId="0" xfId="0" applyFont="1" applyAlignment="1"/>
    <xf numFmtId="0" fontId="15" fillId="0" borderId="0" xfId="0" applyFont="1" applyAlignment="1">
      <alignment horizontal="right" wrapText="1"/>
    </xf>
    <xf numFmtId="0" fontId="15" fillId="0" borderId="0" xfId="0" applyFont="1" applyAlignment="1">
      <alignment horizontal="left" wrapText="1"/>
    </xf>
    <xf numFmtId="0" fontId="15" fillId="0" borderId="0" xfId="0" applyFont="1" applyAlignment="1">
      <alignment wrapText="1"/>
    </xf>
    <xf numFmtId="0" fontId="1" fillId="0" borderId="0" xfId="0" applyFont="1" applyFill="1" applyAlignment="1">
      <alignment horizontal="center"/>
    </xf>
    <xf numFmtId="3" fontId="20" fillId="0" borderId="0" xfId="0" applyNumberFormat="1" applyFont="1" applyFill="1"/>
    <xf numFmtId="3" fontId="1" fillId="0" borderId="0" xfId="0" applyNumberFormat="1" applyFont="1" applyFill="1" applyAlignment="1">
      <alignment horizontal="center"/>
    </xf>
    <xf numFmtId="0" fontId="1" fillId="0" borderId="2" xfId="0" applyFont="1" applyFill="1" applyBorder="1"/>
    <xf numFmtId="0" fontId="23" fillId="0" borderId="2" xfId="0" applyFont="1" applyFill="1" applyBorder="1"/>
    <xf numFmtId="0" fontId="1" fillId="0" borderId="3" xfId="0" applyFont="1" applyFill="1" applyBorder="1"/>
    <xf numFmtId="0" fontId="23" fillId="0" borderId="3" xfId="0" applyFont="1" applyFill="1" applyBorder="1"/>
    <xf numFmtId="10" fontId="1" fillId="0" borderId="0" xfId="0" applyNumberFormat="1" applyFont="1"/>
    <xf numFmtId="0" fontId="21" fillId="0" borderId="0" xfId="0" applyFont="1" applyFill="1"/>
    <xf numFmtId="0" fontId="16" fillId="0" borderId="0" xfId="0" applyFont="1" applyFill="1"/>
    <xf numFmtId="3" fontId="1" fillId="0" borderId="0" xfId="0" applyNumberFormat="1" applyFont="1" applyBorder="1"/>
    <xf numFmtId="165" fontId="1" fillId="0" borderId="0" xfId="0" applyNumberFormat="1" applyFont="1"/>
    <xf numFmtId="10" fontId="20" fillId="0" borderId="0" xfId="444" applyNumberFormat="1" applyFont="1" applyFill="1"/>
    <xf numFmtId="3" fontId="1" fillId="0" borderId="2" xfId="0" applyNumberFormat="1" applyFont="1" applyBorder="1"/>
    <xf numFmtId="43" fontId="1" fillId="0" borderId="0" xfId="0" applyNumberFormat="1" applyFont="1"/>
    <xf numFmtId="43" fontId="20" fillId="0" borderId="0" xfId="1" applyNumberFormat="1" applyFont="1" applyFill="1"/>
    <xf numFmtId="3" fontId="13" fillId="0" borderId="0" xfId="0" applyNumberFormat="1" applyFont="1" applyFill="1"/>
    <xf numFmtId="0" fontId="24" fillId="0" borderId="0" xfId="0" applyFont="1"/>
    <xf numFmtId="0" fontId="1" fillId="0" borderId="0" xfId="0" quotePrefix="1" applyFont="1"/>
    <xf numFmtId="0" fontId="25" fillId="0" borderId="0" xfId="0" applyFont="1"/>
    <xf numFmtId="168" fontId="1" fillId="0" borderId="0" xfId="0" applyNumberFormat="1" applyFont="1"/>
    <xf numFmtId="9" fontId="25" fillId="0" borderId="0" xfId="0" applyNumberFormat="1" applyFont="1"/>
    <xf numFmtId="9" fontId="1" fillId="0" borderId="0" xfId="444" applyFont="1"/>
    <xf numFmtId="169" fontId="1" fillId="0" borderId="0" xfId="0" applyNumberFormat="1" applyFont="1"/>
    <xf numFmtId="165" fontId="20" fillId="0" borderId="0" xfId="444" applyNumberFormat="1" applyFont="1" applyFill="1"/>
    <xf numFmtId="170" fontId="20" fillId="0" borderId="0" xfId="1" applyNumberFormat="1" applyFont="1" applyFill="1"/>
    <xf numFmtId="9" fontId="1" fillId="0" borderId="2" xfId="0" applyNumberFormat="1" applyFont="1" applyBorder="1"/>
    <xf numFmtId="9" fontId="1" fillId="0" borderId="0" xfId="0" applyNumberFormat="1" applyFont="1" applyBorder="1"/>
    <xf numFmtId="9" fontId="20" fillId="0" borderId="0" xfId="444" applyFont="1" applyFill="1"/>
    <xf numFmtId="4" fontId="1" fillId="0" borderId="0" xfId="0" applyNumberFormat="1" applyFont="1" applyFill="1"/>
    <xf numFmtId="165" fontId="1" fillId="0" borderId="0" xfId="444" applyNumberFormat="1" applyFont="1" applyFill="1"/>
    <xf numFmtId="0" fontId="12" fillId="0" borderId="0" xfId="0" applyFont="1" applyFill="1" applyAlignment="1">
      <alignment horizontal="left" wrapText="1"/>
    </xf>
    <xf numFmtId="0" fontId="9" fillId="0" borderId="0" xfId="0" applyFont="1" applyFill="1" applyAlignment="1">
      <alignment horizontal="left" wrapText="1"/>
    </xf>
    <xf numFmtId="0" fontId="12" fillId="0" borderId="0" xfId="0" applyFont="1" applyFill="1" applyAlignment="1">
      <alignment wrapText="1"/>
    </xf>
    <xf numFmtId="3" fontId="13" fillId="0" borderId="0" xfId="1" applyNumberFormat="1" applyFont="1" applyFill="1"/>
    <xf numFmtId="3" fontId="1" fillId="0" borderId="0" xfId="0" applyNumberFormat="1" applyFont="1" applyFill="1"/>
    <xf numFmtId="0" fontId="13" fillId="0" borderId="0" xfId="0" applyFont="1" applyFill="1" applyAlignment="1"/>
    <xf numFmtId="0" fontId="13" fillId="0" borderId="0" xfId="0" applyFont="1" applyFill="1"/>
    <xf numFmtId="10" fontId="20" fillId="0" borderId="0" xfId="0" applyNumberFormat="1" applyFont="1" applyFill="1" applyAlignment="1"/>
    <xf numFmtId="0" fontId="20" fillId="0" borderId="0" xfId="0" applyFont="1" applyFill="1" applyAlignment="1"/>
    <xf numFmtId="10" fontId="14" fillId="0" borderId="0" xfId="444" applyNumberFormat="1" applyFont="1" applyFill="1" applyAlignment="1"/>
    <xf numFmtId="10" fontId="20" fillId="0" borderId="0" xfId="444" applyNumberFormat="1" applyFont="1" applyFill="1" applyAlignment="1"/>
    <xf numFmtId="10" fontId="20" fillId="6" borderId="0" xfId="444" applyNumberFormat="1" applyFont="1" applyFill="1" applyAlignment="1"/>
    <xf numFmtId="3" fontId="1" fillId="0" borderId="0" xfId="0" applyNumberFormat="1" applyFont="1" applyAlignment="1">
      <alignment horizontal="center"/>
    </xf>
    <xf numFmtId="0" fontId="1" fillId="0" borderId="2" xfId="0" applyFont="1" applyBorder="1" applyAlignment="1">
      <alignment horizontal="center" vertical="top" wrapText="1"/>
    </xf>
    <xf numFmtId="0" fontId="1" fillId="0" borderId="3" xfId="0" applyFont="1" applyBorder="1" applyAlignment="1">
      <alignment horizontal="center"/>
    </xf>
    <xf numFmtId="0" fontId="1" fillId="0" borderId="10" xfId="0" applyFont="1" applyBorder="1"/>
    <xf numFmtId="0" fontId="1" fillId="0" borderId="13" xfId="0" applyFont="1" applyBorder="1"/>
    <xf numFmtId="164" fontId="17" fillId="0" borderId="13" xfId="0" applyNumberFormat="1" applyFont="1" applyFill="1" applyBorder="1" applyAlignment="1">
      <alignment horizontal="left" vertical="top"/>
    </xf>
    <xf numFmtId="0" fontId="1" fillId="0" borderId="15" xfId="0" applyFont="1" applyBorder="1"/>
    <xf numFmtId="0" fontId="15" fillId="0" borderId="12" xfId="0" applyFont="1" applyBorder="1" applyAlignment="1">
      <alignment horizontal="left"/>
    </xf>
    <xf numFmtId="0" fontId="20" fillId="0" borderId="0" xfId="0" applyFont="1" applyFill="1" applyBorder="1"/>
    <xf numFmtId="0" fontId="13" fillId="0" borderId="0" xfId="0" applyFont="1" applyFill="1" applyAlignment="1">
      <alignment horizontal="left"/>
    </xf>
    <xf numFmtId="0" fontId="20" fillId="7" borderId="16" xfId="0" applyFont="1" applyFill="1" applyBorder="1"/>
    <xf numFmtId="10" fontId="20" fillId="7" borderId="0" xfId="0" applyNumberFormat="1" applyFont="1" applyFill="1"/>
    <xf numFmtId="10" fontId="20" fillId="7" borderId="0" xfId="444" applyNumberFormat="1" applyFont="1" applyFill="1"/>
    <xf numFmtId="165" fontId="20" fillId="7" borderId="0" xfId="0" applyNumberFormat="1" applyFont="1" applyFill="1"/>
    <xf numFmtId="2" fontId="20" fillId="7" borderId="0" xfId="0" applyNumberFormat="1" applyFont="1" applyFill="1"/>
    <xf numFmtId="0" fontId="20" fillId="0" borderId="0" xfId="0" applyFont="1"/>
    <xf numFmtId="0" fontId="20" fillId="7" borderId="7" xfId="0" applyFont="1" applyFill="1" applyBorder="1"/>
    <xf numFmtId="0" fontId="20" fillId="7" borderId="9" xfId="0" applyFont="1" applyFill="1" applyBorder="1"/>
    <xf numFmtId="3" fontId="20" fillId="7" borderId="0" xfId="1" applyNumberFormat="1" applyFont="1" applyFill="1"/>
    <xf numFmtId="4" fontId="20" fillId="7" borderId="0" xfId="1" applyNumberFormat="1" applyFont="1" applyFill="1"/>
    <xf numFmtId="43" fontId="20" fillId="7" borderId="0" xfId="1" applyNumberFormat="1" applyFont="1" applyFill="1"/>
    <xf numFmtId="170" fontId="20" fillId="7" borderId="0" xfId="1" applyNumberFormat="1" applyFont="1" applyFill="1"/>
    <xf numFmtId="9" fontId="20" fillId="7" borderId="0" xfId="0" applyNumberFormat="1" applyFont="1" applyFill="1"/>
    <xf numFmtId="3" fontId="20" fillId="7" borderId="1" xfId="0" applyNumberFormat="1" applyFont="1" applyFill="1" applyBorder="1" applyAlignment="1">
      <alignment horizontal="right"/>
    </xf>
    <xf numFmtId="3" fontId="20" fillId="7" borderId="0" xfId="0" applyNumberFormat="1" applyFont="1" applyFill="1"/>
    <xf numFmtId="165" fontId="20" fillId="7" borderId="0" xfId="444" applyNumberFormat="1" applyFont="1" applyFill="1"/>
    <xf numFmtId="0" fontId="20" fillId="7" borderId="0" xfId="0" applyFont="1" applyFill="1"/>
    <xf numFmtId="167" fontId="20" fillId="7" borderId="0" xfId="1" applyNumberFormat="1" applyFont="1" applyFill="1" applyAlignment="1">
      <alignment horizontal="center"/>
    </xf>
    <xf numFmtId="166" fontId="20" fillId="7" borderId="0" xfId="1" applyNumberFormat="1" applyFont="1" applyFill="1"/>
    <xf numFmtId="166" fontId="20" fillId="8" borderId="0" xfId="0" applyNumberFormat="1" applyFont="1" applyFill="1"/>
    <xf numFmtId="0" fontId="20" fillId="7" borderId="0" xfId="0" applyFont="1" applyFill="1" applyAlignment="1">
      <alignment horizontal="left"/>
    </xf>
    <xf numFmtId="0" fontId="20" fillId="7" borderId="0" xfId="0" applyFont="1" applyFill="1" applyAlignment="1"/>
    <xf numFmtId="0" fontId="20" fillId="0" borderId="0" xfId="0" applyFont="1" applyFill="1"/>
    <xf numFmtId="10" fontId="20" fillId="2" borderId="0" xfId="444" applyNumberFormat="1" applyFont="1" applyFill="1"/>
    <xf numFmtId="3" fontId="20" fillId="2" borderId="0" xfId="0" applyNumberFormat="1" applyFont="1" applyFill="1"/>
    <xf numFmtId="3" fontId="20" fillId="2" borderId="0" xfId="1" applyNumberFormat="1" applyFont="1" applyFill="1"/>
    <xf numFmtId="0" fontId="20" fillId="0" borderId="0" xfId="0" applyFont="1" applyFill="1" applyAlignment="1">
      <alignment horizontal="left" vertical="top" wrapText="1"/>
    </xf>
    <xf numFmtId="0" fontId="20" fillId="0" borderId="0" xfId="0" applyFont="1" applyFill="1" applyAlignment="1">
      <alignment wrapText="1"/>
    </xf>
    <xf numFmtId="0" fontId="26" fillId="0" borderId="0" xfId="2555" applyFill="1" applyAlignment="1" applyProtection="1">
      <alignment wrapText="1"/>
    </xf>
    <xf numFmtId="0" fontId="10" fillId="0" borderId="11" xfId="0" applyFont="1" applyBorder="1"/>
    <xf numFmtId="0" fontId="1" fillId="0" borderId="14" xfId="0" applyFont="1" applyBorder="1" applyAlignment="1">
      <alignment horizontal="center"/>
    </xf>
    <xf numFmtId="0" fontId="20" fillId="7" borderId="17" xfId="0" applyFont="1" applyFill="1" applyBorder="1" applyAlignment="1">
      <alignment horizontal="center"/>
    </xf>
    <xf numFmtId="0" fontId="1" fillId="0" borderId="0" xfId="0" applyFont="1" applyAlignment="1">
      <alignment wrapText="1"/>
    </xf>
    <xf numFmtId="0" fontId="11" fillId="0" borderId="0" xfId="0" applyFont="1" applyBorder="1"/>
    <xf numFmtId="0" fontId="20" fillId="7" borderId="7" xfId="0" applyFont="1" applyFill="1" applyBorder="1" applyAlignment="1">
      <alignment horizontal="center"/>
    </xf>
    <xf numFmtId="0" fontId="20" fillId="7" borderId="9" xfId="0" applyFont="1" applyFill="1" applyBorder="1" applyAlignment="1">
      <alignment horizontal="center"/>
    </xf>
    <xf numFmtId="0" fontId="20" fillId="0" borderId="0" xfId="0" applyFont="1" applyFill="1" applyAlignment="1">
      <alignment horizontal="center"/>
    </xf>
    <xf numFmtId="0" fontId="15" fillId="0" borderId="5" xfId="0" applyFont="1" applyBorder="1" applyAlignment="1">
      <alignment horizontal="center"/>
    </xf>
    <xf numFmtId="0" fontId="15" fillId="0" borderId="0" xfId="0" applyFont="1" applyAlignment="1">
      <alignment horizontal="left"/>
    </xf>
    <xf numFmtId="0" fontId="1" fillId="0" borderId="0" xfId="0" applyFont="1" applyAlignment="1">
      <alignment horizontal="left"/>
    </xf>
    <xf numFmtId="0" fontId="1" fillId="0" borderId="0" xfId="0" applyFont="1" applyFill="1" applyAlignment="1">
      <alignment horizontal="left"/>
    </xf>
    <xf numFmtId="0" fontId="16" fillId="0" borderId="0" xfId="0" applyFont="1" applyFill="1" applyAlignment="1">
      <alignment horizontal="left"/>
    </xf>
    <xf numFmtId="0" fontId="16" fillId="0" borderId="0" xfId="0" applyFont="1" applyAlignment="1">
      <alignment horizontal="left"/>
    </xf>
    <xf numFmtId="0" fontId="21" fillId="0" borderId="0" xfId="0" applyFont="1" applyFill="1" applyAlignment="1">
      <alignment horizontal="left"/>
    </xf>
    <xf numFmtId="3" fontId="15" fillId="0" borderId="1" xfId="0" applyNumberFormat="1" applyFont="1" applyBorder="1"/>
    <xf numFmtId="0" fontId="9" fillId="0" borderId="0" xfId="0" applyFont="1" applyFill="1" applyAlignment="1">
      <alignment horizontal="center" wrapText="1"/>
    </xf>
    <xf numFmtId="0" fontId="1" fillId="0" borderId="0" xfId="0" applyFont="1" applyFill="1" applyAlignment="1">
      <alignment horizontal="center" vertical="top" wrapText="1"/>
    </xf>
    <xf numFmtId="0" fontId="23" fillId="0" borderId="2" xfId="0" applyFont="1" applyFill="1" applyBorder="1" applyAlignment="1">
      <alignment horizontal="center"/>
    </xf>
    <xf numFmtId="0" fontId="23" fillId="0" borderId="3" xfId="0" applyFont="1" applyFill="1" applyBorder="1" applyAlignment="1">
      <alignment horizontal="center"/>
    </xf>
    <xf numFmtId="0" fontId="1" fillId="0" borderId="2" xfId="0" applyFont="1" applyFill="1" applyBorder="1" applyAlignment="1">
      <alignment horizontal="left"/>
    </xf>
    <xf numFmtId="0" fontId="1" fillId="0" borderId="3" xfId="0" applyFont="1" applyFill="1" applyBorder="1" applyAlignment="1">
      <alignment horizontal="left"/>
    </xf>
    <xf numFmtId="3" fontId="20" fillId="0" borderId="0" xfId="0" applyNumberFormat="1" applyFont="1"/>
    <xf numFmtId="3" fontId="20" fillId="0" borderId="2" xfId="0" applyNumberFormat="1" applyFont="1" applyBorder="1"/>
    <xf numFmtId="3" fontId="20" fillId="0" borderId="0" xfId="0" applyNumberFormat="1" applyFont="1" applyBorder="1"/>
    <xf numFmtId="4" fontId="1" fillId="0" borderId="0" xfId="0" applyNumberFormat="1" applyFont="1" applyAlignment="1">
      <alignment horizontal="center"/>
    </xf>
    <xf numFmtId="4" fontId="1" fillId="0" borderId="0" xfId="0" applyNumberFormat="1" applyFont="1" applyFill="1" applyAlignment="1">
      <alignment horizontal="center"/>
    </xf>
    <xf numFmtId="0" fontId="9" fillId="3" borderId="18" xfId="0" applyFont="1" applyFill="1" applyBorder="1" applyAlignment="1">
      <alignment horizontal="left" vertical="top"/>
    </xf>
    <xf numFmtId="0" fontId="9" fillId="5" borderId="18" xfId="0" applyFont="1" applyFill="1" applyBorder="1" applyAlignment="1">
      <alignment horizontal="left" vertical="top"/>
    </xf>
    <xf numFmtId="0" fontId="20" fillId="7" borderId="18" xfId="0" applyFont="1" applyFill="1" applyBorder="1" applyAlignment="1">
      <alignment wrapText="1"/>
    </xf>
    <xf numFmtId="10" fontId="20" fillId="6" borderId="18" xfId="444" applyNumberFormat="1" applyFont="1" applyFill="1" applyBorder="1"/>
    <xf numFmtId="10" fontId="20" fillId="2" borderId="18" xfId="444" applyNumberFormat="1" applyFont="1" applyFill="1" applyBorder="1"/>
    <xf numFmtId="0" fontId="16" fillId="0" borderId="18" xfId="0" applyFont="1" applyFill="1" applyBorder="1" applyAlignment="1">
      <alignment horizontal="left" vertical="top"/>
    </xf>
    <xf numFmtId="0" fontId="9" fillId="0" borderId="10" xfId="0" applyFont="1" applyFill="1" applyBorder="1" applyAlignment="1">
      <alignment horizontal="left" vertical="top"/>
    </xf>
    <xf numFmtId="0" fontId="1" fillId="0" borderId="11" xfId="0" applyFont="1" applyBorder="1"/>
    <xf numFmtId="164" fontId="17" fillId="0" borderId="12" xfId="0" applyNumberFormat="1" applyFont="1" applyFill="1" applyBorder="1" applyAlignment="1">
      <alignment vertical="top"/>
    </xf>
    <xf numFmtId="0" fontId="1" fillId="0" borderId="14" xfId="0" applyFont="1" applyBorder="1"/>
    <xf numFmtId="0" fontId="9" fillId="0" borderId="0" xfId="0" applyFont="1" applyFill="1" applyBorder="1" applyAlignment="1">
      <alignment horizontal="left" vertical="top"/>
    </xf>
    <xf numFmtId="0" fontId="20" fillId="0" borderId="0" xfId="0" applyFont="1" applyBorder="1"/>
    <xf numFmtId="3" fontId="20" fillId="0" borderId="14" xfId="0" applyNumberFormat="1" applyFont="1" applyBorder="1" applyAlignment="1">
      <alignment horizontal="center"/>
    </xf>
    <xf numFmtId="0" fontId="9" fillId="0" borderId="0" xfId="0" applyFont="1" applyBorder="1"/>
    <xf numFmtId="0" fontId="20" fillId="0" borderId="14" xfId="0" applyFont="1" applyBorder="1"/>
    <xf numFmtId="164" fontId="17" fillId="0" borderId="15" xfId="0" applyNumberFormat="1" applyFont="1" applyFill="1" applyBorder="1" applyAlignment="1">
      <alignment horizontal="left" vertical="top"/>
    </xf>
    <xf numFmtId="0" fontId="20" fillId="0" borderId="16" xfId="0" applyFont="1" applyBorder="1"/>
    <xf numFmtId="0" fontId="20" fillId="0" borderId="17" xfId="0" applyFont="1" applyBorder="1"/>
    <xf numFmtId="3" fontId="20" fillId="0" borderId="0" xfId="0" applyNumberFormat="1" applyFont="1" applyFill="1" applyAlignment="1">
      <alignment horizontal="left"/>
    </xf>
    <xf numFmtId="3" fontId="1" fillId="0" borderId="0" xfId="0" applyNumberFormat="1" applyFont="1" applyAlignment="1">
      <alignment horizontal="left"/>
    </xf>
    <xf numFmtId="0" fontId="26" fillId="0" borderId="0" xfId="2555" applyAlignment="1" applyProtection="1"/>
    <xf numFmtId="0" fontId="15" fillId="0" borderId="0" xfId="0" applyFont="1" applyFill="1" applyAlignment="1">
      <alignment vertical="top" wrapText="1"/>
    </xf>
    <xf numFmtId="166" fontId="1" fillId="0" borderId="1" xfId="0" applyNumberFormat="1" applyFont="1" applyBorder="1"/>
    <xf numFmtId="43" fontId="20" fillId="0" borderId="0" xfId="1" applyNumberFormat="1" applyFont="1" applyFill="1" applyAlignment="1">
      <alignment horizontal="right"/>
    </xf>
    <xf numFmtId="0" fontId="15" fillId="0" borderId="0" xfId="0" applyFont="1" applyFill="1" applyAlignment="1">
      <alignment wrapText="1"/>
    </xf>
    <xf numFmtId="0" fontId="11" fillId="0" borderId="0" xfId="0" applyFont="1" applyAlignment="1">
      <alignment horizontal="left"/>
    </xf>
    <xf numFmtId="0" fontId="18" fillId="0" borderId="0" xfId="0" applyFont="1" applyAlignment="1">
      <alignment wrapText="1"/>
    </xf>
    <xf numFmtId="0" fontId="15" fillId="0" borderId="0" xfId="0" applyFont="1" applyFill="1" applyAlignment="1"/>
  </cellXfs>
  <cellStyles count="2556">
    <cellStyle name="Comma" xfId="1" builtinId="3"/>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5" builtinId="9" hidden="1"/>
    <cellStyle name="Followed Hyperlink" xfId="427" builtinId="9" hidden="1"/>
    <cellStyle name="Followed Hyperlink" xfId="429" builtinId="9" hidden="1"/>
    <cellStyle name="Followed Hyperlink" xfId="431" builtinId="9" hidden="1"/>
    <cellStyle name="Followed Hyperlink" xfId="433" builtinId="9" hidden="1"/>
    <cellStyle name="Followed Hyperlink" xfId="435" builtinId="9" hidden="1"/>
    <cellStyle name="Followed Hyperlink" xfId="437" builtinId="9" hidden="1"/>
    <cellStyle name="Followed Hyperlink" xfId="439" builtinId="9" hidden="1"/>
    <cellStyle name="Followed Hyperlink" xfId="441" builtinId="9" hidden="1"/>
    <cellStyle name="Followed Hyperlink" xfId="443"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Followed Hyperlink" xfId="798" builtinId="9" hidden="1"/>
    <cellStyle name="Followed Hyperlink" xfId="800" builtinId="9" hidden="1"/>
    <cellStyle name="Followed Hyperlink" xfId="802" builtinId="9" hidden="1"/>
    <cellStyle name="Followed Hyperlink" xfId="804" builtinId="9" hidden="1"/>
    <cellStyle name="Followed Hyperlink" xfId="806" builtinId="9" hidden="1"/>
    <cellStyle name="Followed Hyperlink" xfId="808" builtinId="9" hidden="1"/>
    <cellStyle name="Followed Hyperlink" xfId="810" builtinId="9" hidden="1"/>
    <cellStyle name="Followed Hyperlink" xfId="812" builtinId="9" hidden="1"/>
    <cellStyle name="Followed Hyperlink" xfId="814" builtinId="9" hidden="1"/>
    <cellStyle name="Followed Hyperlink" xfId="816" builtinId="9" hidden="1"/>
    <cellStyle name="Followed Hyperlink" xfId="818" builtinId="9" hidden="1"/>
    <cellStyle name="Followed Hyperlink" xfId="820" builtinId="9" hidden="1"/>
    <cellStyle name="Followed Hyperlink" xfId="822" builtinId="9" hidden="1"/>
    <cellStyle name="Followed Hyperlink" xfId="824" builtinId="9" hidden="1"/>
    <cellStyle name="Followed Hyperlink" xfId="826" builtinId="9" hidden="1"/>
    <cellStyle name="Followed Hyperlink" xfId="828" builtinId="9" hidden="1"/>
    <cellStyle name="Followed Hyperlink" xfId="830" builtinId="9" hidden="1"/>
    <cellStyle name="Followed Hyperlink" xfId="832" builtinId="9" hidden="1"/>
    <cellStyle name="Followed Hyperlink" xfId="834" builtinId="9" hidden="1"/>
    <cellStyle name="Followed Hyperlink" xfId="836" builtinId="9" hidden="1"/>
    <cellStyle name="Followed Hyperlink" xfId="838" builtinId="9" hidden="1"/>
    <cellStyle name="Followed Hyperlink" xfId="840" builtinId="9" hidden="1"/>
    <cellStyle name="Followed Hyperlink" xfId="842" builtinId="9" hidden="1"/>
    <cellStyle name="Followed Hyperlink" xfId="846" builtinId="9" hidden="1"/>
    <cellStyle name="Followed Hyperlink" xfId="848" builtinId="9" hidden="1"/>
    <cellStyle name="Followed Hyperlink" xfId="850" builtinId="9" hidden="1"/>
    <cellStyle name="Followed Hyperlink" xfId="852" builtinId="9" hidden="1"/>
    <cellStyle name="Followed Hyperlink" xfId="854" builtinId="9" hidden="1"/>
    <cellStyle name="Followed Hyperlink" xfId="856" builtinId="9" hidden="1"/>
    <cellStyle name="Followed Hyperlink" xfId="858" builtinId="9" hidden="1"/>
    <cellStyle name="Followed Hyperlink" xfId="860" builtinId="9" hidden="1"/>
    <cellStyle name="Followed Hyperlink" xfId="862" builtinId="9" hidden="1"/>
    <cellStyle name="Followed Hyperlink" xfId="864" builtinId="9" hidden="1"/>
    <cellStyle name="Followed Hyperlink" xfId="866" builtinId="9" hidden="1"/>
    <cellStyle name="Followed Hyperlink" xfId="868" builtinId="9" hidden="1"/>
    <cellStyle name="Followed Hyperlink" xfId="870" builtinId="9" hidden="1"/>
    <cellStyle name="Followed Hyperlink" xfId="872" builtinId="9" hidden="1"/>
    <cellStyle name="Followed Hyperlink" xfId="874" builtinId="9" hidden="1"/>
    <cellStyle name="Followed Hyperlink" xfId="876" builtinId="9" hidden="1"/>
    <cellStyle name="Followed Hyperlink" xfId="878" builtinId="9" hidden="1"/>
    <cellStyle name="Followed Hyperlink" xfId="880" builtinId="9" hidden="1"/>
    <cellStyle name="Followed Hyperlink" xfId="882" builtinId="9" hidden="1"/>
    <cellStyle name="Followed Hyperlink" xfId="884" builtinId="9" hidden="1"/>
    <cellStyle name="Followed Hyperlink" xfId="886" builtinId="9" hidden="1"/>
    <cellStyle name="Followed Hyperlink" xfId="888" builtinId="9" hidden="1"/>
    <cellStyle name="Followed Hyperlink" xfId="890" builtinId="9" hidden="1"/>
    <cellStyle name="Followed Hyperlink" xfId="892" builtinId="9" hidden="1"/>
    <cellStyle name="Followed Hyperlink" xfId="894" builtinId="9" hidden="1"/>
    <cellStyle name="Followed Hyperlink" xfId="896" builtinId="9" hidden="1"/>
    <cellStyle name="Followed Hyperlink" xfId="898" builtinId="9" hidden="1"/>
    <cellStyle name="Followed Hyperlink" xfId="900" builtinId="9" hidden="1"/>
    <cellStyle name="Followed Hyperlink" xfId="902" builtinId="9" hidden="1"/>
    <cellStyle name="Followed Hyperlink" xfId="904" builtinId="9" hidden="1"/>
    <cellStyle name="Followed Hyperlink" xfId="906" builtinId="9" hidden="1"/>
    <cellStyle name="Followed Hyperlink" xfId="908" builtinId="9" hidden="1"/>
    <cellStyle name="Followed Hyperlink" xfId="910" builtinId="9" hidden="1"/>
    <cellStyle name="Followed Hyperlink" xfId="912" builtinId="9" hidden="1"/>
    <cellStyle name="Followed Hyperlink" xfId="914" builtinId="9" hidden="1"/>
    <cellStyle name="Followed Hyperlink" xfId="916" builtinId="9" hidden="1"/>
    <cellStyle name="Followed Hyperlink" xfId="918" builtinId="9" hidden="1"/>
    <cellStyle name="Followed Hyperlink" xfId="920" builtinId="9" hidden="1"/>
    <cellStyle name="Followed Hyperlink" xfId="922" builtinId="9" hidden="1"/>
    <cellStyle name="Followed Hyperlink" xfId="924" builtinId="9" hidden="1"/>
    <cellStyle name="Followed Hyperlink" xfId="926" builtinId="9" hidden="1"/>
    <cellStyle name="Followed Hyperlink" xfId="928" builtinId="9" hidden="1"/>
    <cellStyle name="Followed Hyperlink" xfId="930" builtinId="9" hidden="1"/>
    <cellStyle name="Followed Hyperlink" xfId="932" builtinId="9" hidden="1"/>
    <cellStyle name="Followed Hyperlink" xfId="934" builtinId="9" hidden="1"/>
    <cellStyle name="Followed Hyperlink" xfId="936" builtinId="9" hidden="1"/>
    <cellStyle name="Followed Hyperlink" xfId="938" builtinId="9" hidden="1"/>
    <cellStyle name="Followed Hyperlink" xfId="940" builtinId="9" hidden="1"/>
    <cellStyle name="Followed Hyperlink" xfId="942" builtinId="9" hidden="1"/>
    <cellStyle name="Followed Hyperlink" xfId="944" builtinId="9" hidden="1"/>
    <cellStyle name="Followed Hyperlink" xfId="946" builtinId="9" hidden="1"/>
    <cellStyle name="Followed Hyperlink" xfId="948" builtinId="9" hidden="1"/>
    <cellStyle name="Followed Hyperlink" xfId="950" builtinId="9" hidden="1"/>
    <cellStyle name="Followed Hyperlink" xfId="952" builtinId="9" hidden="1"/>
    <cellStyle name="Followed Hyperlink" xfId="954" builtinId="9" hidden="1"/>
    <cellStyle name="Followed Hyperlink" xfId="956" builtinId="9" hidden="1"/>
    <cellStyle name="Followed Hyperlink" xfId="958" builtinId="9" hidden="1"/>
    <cellStyle name="Followed Hyperlink" xfId="960" builtinId="9" hidden="1"/>
    <cellStyle name="Followed Hyperlink" xfId="962" builtinId="9" hidden="1"/>
    <cellStyle name="Followed Hyperlink" xfId="964" builtinId="9" hidden="1"/>
    <cellStyle name="Followed Hyperlink" xfId="966" builtinId="9" hidden="1"/>
    <cellStyle name="Followed Hyperlink" xfId="968" builtinId="9" hidden="1"/>
    <cellStyle name="Followed Hyperlink" xfId="970" builtinId="9" hidden="1"/>
    <cellStyle name="Followed Hyperlink" xfId="972" builtinId="9" hidden="1"/>
    <cellStyle name="Followed Hyperlink" xfId="974" builtinId="9" hidden="1"/>
    <cellStyle name="Followed Hyperlink" xfId="976" builtinId="9" hidden="1"/>
    <cellStyle name="Followed Hyperlink" xfId="978" builtinId="9" hidden="1"/>
    <cellStyle name="Followed Hyperlink" xfId="980" builtinId="9" hidden="1"/>
    <cellStyle name="Followed Hyperlink" xfId="982" builtinId="9" hidden="1"/>
    <cellStyle name="Followed Hyperlink" xfId="984" builtinId="9" hidden="1"/>
    <cellStyle name="Followed Hyperlink" xfId="986" builtinId="9" hidden="1"/>
    <cellStyle name="Followed Hyperlink" xfId="988" builtinId="9" hidden="1"/>
    <cellStyle name="Followed Hyperlink" xfId="990" builtinId="9" hidden="1"/>
    <cellStyle name="Followed Hyperlink" xfId="992" builtinId="9" hidden="1"/>
    <cellStyle name="Followed Hyperlink" xfId="994" builtinId="9" hidden="1"/>
    <cellStyle name="Followed Hyperlink" xfId="996" builtinId="9" hidden="1"/>
    <cellStyle name="Followed Hyperlink" xfId="998" builtinId="9" hidden="1"/>
    <cellStyle name="Followed Hyperlink" xfId="1000" builtinId="9" hidden="1"/>
    <cellStyle name="Followed Hyperlink" xfId="1002" builtinId="9" hidden="1"/>
    <cellStyle name="Followed Hyperlink" xfId="1004" builtinId="9" hidden="1"/>
    <cellStyle name="Followed Hyperlink" xfId="1006" builtinId="9" hidden="1"/>
    <cellStyle name="Followed Hyperlink" xfId="1008" builtinId="9" hidden="1"/>
    <cellStyle name="Followed Hyperlink" xfId="1010" builtinId="9" hidden="1"/>
    <cellStyle name="Followed Hyperlink" xfId="1012" builtinId="9" hidden="1"/>
    <cellStyle name="Followed Hyperlink" xfId="1014" builtinId="9" hidden="1"/>
    <cellStyle name="Followed Hyperlink" xfId="1016" builtinId="9" hidden="1"/>
    <cellStyle name="Followed Hyperlink" xfId="1018" builtinId="9" hidden="1"/>
    <cellStyle name="Followed Hyperlink" xfId="1020" builtinId="9" hidden="1"/>
    <cellStyle name="Followed Hyperlink" xfId="1022" builtinId="9" hidden="1"/>
    <cellStyle name="Followed Hyperlink" xfId="1024" builtinId="9" hidden="1"/>
    <cellStyle name="Followed Hyperlink" xfId="1026" builtinId="9" hidden="1"/>
    <cellStyle name="Followed Hyperlink" xfId="1028" builtinId="9" hidden="1"/>
    <cellStyle name="Followed Hyperlink" xfId="1030" builtinId="9" hidden="1"/>
    <cellStyle name="Followed Hyperlink" xfId="1032" builtinId="9" hidden="1"/>
    <cellStyle name="Followed Hyperlink" xfId="1034" builtinId="9" hidden="1"/>
    <cellStyle name="Followed Hyperlink" xfId="1036" builtinId="9" hidden="1"/>
    <cellStyle name="Followed Hyperlink" xfId="1038" builtinId="9" hidden="1"/>
    <cellStyle name="Followed Hyperlink" xfId="1040" builtinId="9" hidden="1"/>
    <cellStyle name="Followed Hyperlink" xfId="1042" builtinId="9" hidden="1"/>
    <cellStyle name="Followed Hyperlink" xfId="1044" builtinId="9" hidden="1"/>
    <cellStyle name="Followed Hyperlink" xfId="1046" builtinId="9" hidden="1"/>
    <cellStyle name="Followed Hyperlink" xfId="1048" builtinId="9" hidden="1"/>
    <cellStyle name="Followed Hyperlink" xfId="1050" builtinId="9" hidden="1"/>
    <cellStyle name="Followed Hyperlink" xfId="1052" builtinId="9" hidden="1"/>
    <cellStyle name="Followed Hyperlink" xfId="1054" builtinId="9" hidden="1"/>
    <cellStyle name="Followed Hyperlink" xfId="1056" builtinId="9" hidden="1"/>
    <cellStyle name="Followed Hyperlink" xfId="1058" builtinId="9" hidden="1"/>
    <cellStyle name="Followed Hyperlink" xfId="1060" builtinId="9" hidden="1"/>
    <cellStyle name="Followed Hyperlink" xfId="1062" builtinId="9" hidden="1"/>
    <cellStyle name="Followed Hyperlink" xfId="1064" builtinId="9" hidden="1"/>
    <cellStyle name="Followed Hyperlink" xfId="1066" builtinId="9" hidden="1"/>
    <cellStyle name="Followed Hyperlink" xfId="1068" builtinId="9" hidden="1"/>
    <cellStyle name="Followed Hyperlink" xfId="1070" builtinId="9" hidden="1"/>
    <cellStyle name="Followed Hyperlink" xfId="1072" builtinId="9" hidden="1"/>
    <cellStyle name="Followed Hyperlink" xfId="1074" builtinId="9" hidden="1"/>
    <cellStyle name="Followed Hyperlink" xfId="1076" builtinId="9" hidden="1"/>
    <cellStyle name="Followed Hyperlink" xfId="1078" builtinId="9" hidden="1"/>
    <cellStyle name="Followed Hyperlink" xfId="1080" builtinId="9" hidden="1"/>
    <cellStyle name="Followed Hyperlink" xfId="1082" builtinId="9" hidden="1"/>
    <cellStyle name="Followed Hyperlink" xfId="1084" builtinId="9" hidden="1"/>
    <cellStyle name="Followed Hyperlink" xfId="1086" builtinId="9" hidden="1"/>
    <cellStyle name="Followed Hyperlink" xfId="1088" builtinId="9" hidden="1"/>
    <cellStyle name="Followed Hyperlink" xfId="1090" builtinId="9" hidden="1"/>
    <cellStyle name="Followed Hyperlink" xfId="1092" builtinId="9" hidden="1"/>
    <cellStyle name="Followed Hyperlink" xfId="1094" builtinId="9" hidden="1"/>
    <cellStyle name="Followed Hyperlink" xfId="1096" builtinId="9" hidden="1"/>
    <cellStyle name="Followed Hyperlink" xfId="1098" builtinId="9" hidden="1"/>
    <cellStyle name="Followed Hyperlink" xfId="1100" builtinId="9" hidden="1"/>
    <cellStyle name="Followed Hyperlink" xfId="1102" builtinId="9" hidden="1"/>
    <cellStyle name="Followed Hyperlink" xfId="1104" builtinId="9" hidden="1"/>
    <cellStyle name="Followed Hyperlink" xfId="1106" builtinId="9" hidden="1"/>
    <cellStyle name="Followed Hyperlink" xfId="1108" builtinId="9" hidden="1"/>
    <cellStyle name="Followed Hyperlink" xfId="1110" builtinId="9" hidden="1"/>
    <cellStyle name="Followed Hyperlink" xfId="1112" builtinId="9" hidden="1"/>
    <cellStyle name="Followed Hyperlink" xfId="1114" builtinId="9" hidden="1"/>
    <cellStyle name="Followed Hyperlink" xfId="1116" builtinId="9" hidden="1"/>
    <cellStyle name="Followed Hyperlink" xfId="1118" builtinId="9" hidden="1"/>
    <cellStyle name="Followed Hyperlink" xfId="1120" builtinId="9" hidden="1"/>
    <cellStyle name="Followed Hyperlink" xfId="1122" builtinId="9" hidden="1"/>
    <cellStyle name="Followed Hyperlink" xfId="1124" builtinId="9" hidden="1"/>
    <cellStyle name="Followed Hyperlink" xfId="1126" builtinId="9" hidden="1"/>
    <cellStyle name="Followed Hyperlink" xfId="1128" builtinId="9" hidden="1"/>
    <cellStyle name="Followed Hyperlink" xfId="1130" builtinId="9" hidden="1"/>
    <cellStyle name="Followed Hyperlink" xfId="1132" builtinId="9" hidden="1"/>
    <cellStyle name="Followed Hyperlink" xfId="1134" builtinId="9" hidden="1"/>
    <cellStyle name="Followed Hyperlink" xfId="1136" builtinId="9" hidden="1"/>
    <cellStyle name="Followed Hyperlink" xfId="1138" builtinId="9" hidden="1"/>
    <cellStyle name="Followed Hyperlink" xfId="1140" builtinId="9" hidden="1"/>
    <cellStyle name="Followed Hyperlink" xfId="1142" builtinId="9" hidden="1"/>
    <cellStyle name="Followed Hyperlink" xfId="1144" builtinId="9" hidden="1"/>
    <cellStyle name="Followed Hyperlink" xfId="1146" builtinId="9" hidden="1"/>
    <cellStyle name="Followed Hyperlink" xfId="1148" builtinId="9" hidden="1"/>
    <cellStyle name="Followed Hyperlink" xfId="1150" builtinId="9" hidden="1"/>
    <cellStyle name="Followed Hyperlink" xfId="1152" builtinId="9" hidden="1"/>
    <cellStyle name="Followed Hyperlink" xfId="1154" builtinId="9" hidden="1"/>
    <cellStyle name="Followed Hyperlink" xfId="1156" builtinId="9" hidden="1"/>
    <cellStyle name="Followed Hyperlink" xfId="1158" builtinId="9" hidden="1"/>
    <cellStyle name="Followed Hyperlink" xfId="1160" builtinId="9" hidden="1"/>
    <cellStyle name="Followed Hyperlink" xfId="1162" builtinId="9" hidden="1"/>
    <cellStyle name="Followed Hyperlink" xfId="1164" builtinId="9" hidden="1"/>
    <cellStyle name="Followed Hyperlink" xfId="1166" builtinId="9" hidden="1"/>
    <cellStyle name="Followed Hyperlink" xfId="1168" builtinId="9" hidden="1"/>
    <cellStyle name="Followed Hyperlink" xfId="1170" builtinId="9" hidden="1"/>
    <cellStyle name="Followed Hyperlink" xfId="1172" builtinId="9" hidden="1"/>
    <cellStyle name="Followed Hyperlink" xfId="1174" builtinId="9" hidden="1"/>
    <cellStyle name="Followed Hyperlink" xfId="1176" builtinId="9" hidden="1"/>
    <cellStyle name="Followed Hyperlink" xfId="1178" builtinId="9" hidden="1"/>
    <cellStyle name="Followed Hyperlink" xfId="1180" builtinId="9" hidden="1"/>
    <cellStyle name="Followed Hyperlink" xfId="1182" builtinId="9" hidden="1"/>
    <cellStyle name="Followed Hyperlink" xfId="1184" builtinId="9" hidden="1"/>
    <cellStyle name="Followed Hyperlink" xfId="1186" builtinId="9" hidden="1"/>
    <cellStyle name="Followed Hyperlink" xfId="1188" builtinId="9" hidden="1"/>
    <cellStyle name="Followed Hyperlink" xfId="1190" builtinId="9" hidden="1"/>
    <cellStyle name="Followed Hyperlink" xfId="1192" builtinId="9" hidden="1"/>
    <cellStyle name="Followed Hyperlink" xfId="1194" builtinId="9" hidden="1"/>
    <cellStyle name="Followed Hyperlink" xfId="1196" builtinId="9" hidden="1"/>
    <cellStyle name="Followed Hyperlink" xfId="1198" builtinId="9" hidden="1"/>
    <cellStyle name="Followed Hyperlink" xfId="1200" builtinId="9" hidden="1"/>
    <cellStyle name="Followed Hyperlink" xfId="1202" builtinId="9" hidden="1"/>
    <cellStyle name="Followed Hyperlink" xfId="1204" builtinId="9" hidden="1"/>
    <cellStyle name="Followed Hyperlink" xfId="1206" builtinId="9" hidden="1"/>
    <cellStyle name="Followed Hyperlink" xfId="1208" builtinId="9" hidden="1"/>
    <cellStyle name="Followed Hyperlink" xfId="1210" builtinId="9" hidden="1"/>
    <cellStyle name="Followed Hyperlink" xfId="1212" builtinId="9" hidden="1"/>
    <cellStyle name="Followed Hyperlink" xfId="1214" builtinId="9" hidden="1"/>
    <cellStyle name="Followed Hyperlink" xfId="1216" builtinId="9" hidden="1"/>
    <cellStyle name="Followed Hyperlink" xfId="1218" builtinId="9" hidden="1"/>
    <cellStyle name="Followed Hyperlink" xfId="1220" builtinId="9" hidden="1"/>
    <cellStyle name="Followed Hyperlink" xfId="1222" builtinId="9" hidden="1"/>
    <cellStyle name="Followed Hyperlink" xfId="1224" builtinId="9" hidden="1"/>
    <cellStyle name="Followed Hyperlink" xfId="1226" builtinId="9" hidden="1"/>
    <cellStyle name="Followed Hyperlink" xfId="1228" builtinId="9" hidden="1"/>
    <cellStyle name="Followed Hyperlink" xfId="1230" builtinId="9" hidden="1"/>
    <cellStyle name="Followed Hyperlink" xfId="1232" builtinId="9" hidden="1"/>
    <cellStyle name="Followed Hyperlink" xfId="1234" builtinId="9" hidden="1"/>
    <cellStyle name="Followed Hyperlink" xfId="1236" builtinId="9" hidden="1"/>
    <cellStyle name="Followed Hyperlink" xfId="1238" builtinId="9" hidden="1"/>
    <cellStyle name="Followed Hyperlink" xfId="1240" builtinId="9" hidden="1"/>
    <cellStyle name="Followed Hyperlink" xfId="1242" builtinId="9" hidden="1"/>
    <cellStyle name="Followed Hyperlink" xfId="1244" builtinId="9" hidden="1"/>
    <cellStyle name="Followed Hyperlink" xfId="1246" builtinId="9" hidden="1"/>
    <cellStyle name="Followed Hyperlink" xfId="1248" builtinId="9" hidden="1"/>
    <cellStyle name="Followed Hyperlink" xfId="1250" builtinId="9" hidden="1"/>
    <cellStyle name="Followed Hyperlink" xfId="1252" builtinId="9" hidden="1"/>
    <cellStyle name="Followed Hyperlink" xfId="1254" builtinId="9" hidden="1"/>
    <cellStyle name="Followed Hyperlink" xfId="1256" builtinId="9" hidden="1"/>
    <cellStyle name="Followed Hyperlink" xfId="1258" builtinId="9" hidden="1"/>
    <cellStyle name="Followed Hyperlink" xfId="1260" builtinId="9" hidden="1"/>
    <cellStyle name="Followed Hyperlink" xfId="1262" builtinId="9" hidden="1"/>
    <cellStyle name="Followed Hyperlink" xfId="1264" builtinId="9" hidden="1"/>
    <cellStyle name="Followed Hyperlink" xfId="1266" builtinId="9" hidden="1"/>
    <cellStyle name="Followed Hyperlink" xfId="1268" builtinId="9" hidden="1"/>
    <cellStyle name="Followed Hyperlink" xfId="1270" builtinId="9" hidden="1"/>
    <cellStyle name="Followed Hyperlink" xfId="1272" builtinId="9" hidden="1"/>
    <cellStyle name="Followed Hyperlink" xfId="1274" builtinId="9" hidden="1"/>
    <cellStyle name="Followed Hyperlink" xfId="1276" builtinId="9" hidden="1"/>
    <cellStyle name="Followed Hyperlink" xfId="1278" builtinId="9" hidden="1"/>
    <cellStyle name="Followed Hyperlink" xfId="1280" builtinId="9" hidden="1"/>
    <cellStyle name="Followed Hyperlink" xfId="1282" builtinId="9" hidden="1"/>
    <cellStyle name="Followed Hyperlink" xfId="1284" builtinId="9" hidden="1"/>
    <cellStyle name="Followed Hyperlink" xfId="1286" builtinId="9" hidden="1"/>
    <cellStyle name="Followed Hyperlink" xfId="1289" builtinId="9" hidden="1"/>
    <cellStyle name="Followed Hyperlink" xfId="1291" builtinId="9" hidden="1"/>
    <cellStyle name="Followed Hyperlink" xfId="1293" builtinId="9" hidden="1"/>
    <cellStyle name="Followed Hyperlink" xfId="1295" builtinId="9" hidden="1"/>
    <cellStyle name="Followed Hyperlink" xfId="1297" builtinId="9" hidden="1"/>
    <cellStyle name="Followed Hyperlink" xfId="1299" builtinId="9" hidden="1"/>
    <cellStyle name="Followed Hyperlink" xfId="1301" builtinId="9" hidden="1"/>
    <cellStyle name="Followed Hyperlink" xfId="1303" builtinId="9" hidden="1"/>
    <cellStyle name="Followed Hyperlink" xfId="1305" builtinId="9" hidden="1"/>
    <cellStyle name="Followed Hyperlink" xfId="1307" builtinId="9" hidden="1"/>
    <cellStyle name="Followed Hyperlink" xfId="1309" builtinId="9" hidden="1"/>
    <cellStyle name="Followed Hyperlink" xfId="1311" builtinId="9" hidden="1"/>
    <cellStyle name="Followed Hyperlink" xfId="1313" builtinId="9" hidden="1"/>
    <cellStyle name="Followed Hyperlink" xfId="1315" builtinId="9" hidden="1"/>
    <cellStyle name="Followed Hyperlink" xfId="1317" builtinId="9" hidden="1"/>
    <cellStyle name="Followed Hyperlink" xfId="1319" builtinId="9" hidden="1"/>
    <cellStyle name="Followed Hyperlink" xfId="1321" builtinId="9" hidden="1"/>
    <cellStyle name="Followed Hyperlink" xfId="1323" builtinId="9" hidden="1"/>
    <cellStyle name="Followed Hyperlink" xfId="1325" builtinId="9" hidden="1"/>
    <cellStyle name="Followed Hyperlink" xfId="1327" builtinId="9" hidden="1"/>
    <cellStyle name="Followed Hyperlink" xfId="1329" builtinId="9" hidden="1"/>
    <cellStyle name="Followed Hyperlink" xfId="1331" builtinId="9" hidden="1"/>
    <cellStyle name="Followed Hyperlink" xfId="1333" builtinId="9" hidden="1"/>
    <cellStyle name="Followed Hyperlink" xfId="1335" builtinId="9" hidden="1"/>
    <cellStyle name="Followed Hyperlink" xfId="1337" builtinId="9" hidden="1"/>
    <cellStyle name="Followed Hyperlink" xfId="1339" builtinId="9" hidden="1"/>
    <cellStyle name="Followed Hyperlink" xfId="1341" builtinId="9" hidden="1"/>
    <cellStyle name="Followed Hyperlink" xfId="1343" builtinId="9" hidden="1"/>
    <cellStyle name="Followed Hyperlink" xfId="1345" builtinId="9" hidden="1"/>
    <cellStyle name="Followed Hyperlink" xfId="1347" builtinId="9" hidden="1"/>
    <cellStyle name="Followed Hyperlink" xfId="1349" builtinId="9" hidden="1"/>
    <cellStyle name="Followed Hyperlink" xfId="1351" builtinId="9" hidden="1"/>
    <cellStyle name="Followed Hyperlink" xfId="1353" builtinId="9" hidden="1"/>
    <cellStyle name="Followed Hyperlink" xfId="1355" builtinId="9" hidden="1"/>
    <cellStyle name="Followed Hyperlink" xfId="1357" builtinId="9" hidden="1"/>
    <cellStyle name="Followed Hyperlink" xfId="1359" builtinId="9" hidden="1"/>
    <cellStyle name="Followed Hyperlink" xfId="1361" builtinId="9" hidden="1"/>
    <cellStyle name="Followed Hyperlink" xfId="1363" builtinId="9" hidden="1"/>
    <cellStyle name="Followed Hyperlink" xfId="1365" builtinId="9" hidden="1"/>
    <cellStyle name="Followed Hyperlink" xfId="1367" builtinId="9" hidden="1"/>
    <cellStyle name="Followed Hyperlink" xfId="1369" builtinId="9" hidden="1"/>
    <cellStyle name="Followed Hyperlink" xfId="1371" builtinId="9" hidden="1"/>
    <cellStyle name="Followed Hyperlink" xfId="1373" builtinId="9" hidden="1"/>
    <cellStyle name="Followed Hyperlink" xfId="1375" builtinId="9" hidden="1"/>
    <cellStyle name="Followed Hyperlink" xfId="1377" builtinId="9" hidden="1"/>
    <cellStyle name="Followed Hyperlink" xfId="1379" builtinId="9" hidden="1"/>
    <cellStyle name="Followed Hyperlink" xfId="1381" builtinId="9" hidden="1"/>
    <cellStyle name="Followed Hyperlink" xfId="1383" builtinId="9" hidden="1"/>
    <cellStyle name="Followed Hyperlink" xfId="1385" builtinId="9" hidden="1"/>
    <cellStyle name="Followed Hyperlink" xfId="1387" builtinId="9" hidden="1"/>
    <cellStyle name="Followed Hyperlink" xfId="1389" builtinId="9" hidden="1"/>
    <cellStyle name="Followed Hyperlink" xfId="1391" builtinId="9" hidden="1"/>
    <cellStyle name="Followed Hyperlink" xfId="1393" builtinId="9" hidden="1"/>
    <cellStyle name="Followed Hyperlink" xfId="1395" builtinId="9" hidden="1"/>
    <cellStyle name="Followed Hyperlink" xfId="1397" builtinId="9" hidden="1"/>
    <cellStyle name="Followed Hyperlink" xfId="1399" builtinId="9" hidden="1"/>
    <cellStyle name="Followed Hyperlink" xfId="1401" builtinId="9" hidden="1"/>
    <cellStyle name="Followed Hyperlink" xfId="1403" builtinId="9" hidden="1"/>
    <cellStyle name="Followed Hyperlink" xfId="1405" builtinId="9" hidden="1"/>
    <cellStyle name="Followed Hyperlink" xfId="1407" builtinId="9" hidden="1"/>
    <cellStyle name="Followed Hyperlink" xfId="1409" builtinId="9" hidden="1"/>
    <cellStyle name="Followed Hyperlink" xfId="1411" builtinId="9" hidden="1"/>
    <cellStyle name="Followed Hyperlink" xfId="1413" builtinId="9" hidden="1"/>
    <cellStyle name="Followed Hyperlink" xfId="1415" builtinId="9" hidden="1"/>
    <cellStyle name="Followed Hyperlink" xfId="1417" builtinId="9" hidden="1"/>
    <cellStyle name="Followed Hyperlink" xfId="1419" builtinId="9" hidden="1"/>
    <cellStyle name="Followed Hyperlink" xfId="1421" builtinId="9" hidden="1"/>
    <cellStyle name="Followed Hyperlink" xfId="1423" builtinId="9" hidden="1"/>
    <cellStyle name="Followed Hyperlink" xfId="1425" builtinId="9" hidden="1"/>
    <cellStyle name="Followed Hyperlink" xfId="1427" builtinId="9" hidden="1"/>
    <cellStyle name="Followed Hyperlink" xfId="1429" builtinId="9" hidden="1"/>
    <cellStyle name="Followed Hyperlink" xfId="1431" builtinId="9" hidden="1"/>
    <cellStyle name="Followed Hyperlink" xfId="1433" builtinId="9" hidden="1"/>
    <cellStyle name="Followed Hyperlink" xfId="1435" builtinId="9" hidden="1"/>
    <cellStyle name="Followed Hyperlink" xfId="1437" builtinId="9" hidden="1"/>
    <cellStyle name="Followed Hyperlink" xfId="1439" builtinId="9" hidden="1"/>
    <cellStyle name="Followed Hyperlink" xfId="1441" builtinId="9" hidden="1"/>
    <cellStyle name="Followed Hyperlink" xfId="1443" builtinId="9" hidden="1"/>
    <cellStyle name="Followed Hyperlink" xfId="1445" builtinId="9" hidden="1"/>
    <cellStyle name="Followed Hyperlink" xfId="1447" builtinId="9" hidden="1"/>
    <cellStyle name="Followed Hyperlink" xfId="1449" builtinId="9" hidden="1"/>
    <cellStyle name="Followed Hyperlink" xfId="1451" builtinId="9" hidden="1"/>
    <cellStyle name="Followed Hyperlink" xfId="1453" builtinId="9" hidden="1"/>
    <cellStyle name="Followed Hyperlink" xfId="1455" builtinId="9" hidden="1"/>
    <cellStyle name="Followed Hyperlink" xfId="1457" builtinId="9" hidden="1"/>
    <cellStyle name="Followed Hyperlink" xfId="1459" builtinId="9" hidden="1"/>
    <cellStyle name="Followed Hyperlink" xfId="1461" builtinId="9" hidden="1"/>
    <cellStyle name="Followed Hyperlink" xfId="1463" builtinId="9" hidden="1"/>
    <cellStyle name="Followed Hyperlink" xfId="1465" builtinId="9" hidden="1"/>
    <cellStyle name="Followed Hyperlink" xfId="1467" builtinId="9" hidden="1"/>
    <cellStyle name="Followed Hyperlink" xfId="1469" builtinId="9" hidden="1"/>
    <cellStyle name="Followed Hyperlink" xfId="1471" builtinId="9" hidden="1"/>
    <cellStyle name="Followed Hyperlink" xfId="1473" builtinId="9" hidden="1"/>
    <cellStyle name="Followed Hyperlink" xfId="1475" builtinId="9" hidden="1"/>
    <cellStyle name="Followed Hyperlink" xfId="1477" builtinId="9" hidden="1"/>
    <cellStyle name="Followed Hyperlink" xfId="1479" builtinId="9" hidden="1"/>
    <cellStyle name="Followed Hyperlink" xfId="1481" builtinId="9" hidden="1"/>
    <cellStyle name="Followed Hyperlink" xfId="1483" builtinId="9" hidden="1"/>
    <cellStyle name="Followed Hyperlink" xfId="1485" builtinId="9" hidden="1"/>
    <cellStyle name="Followed Hyperlink" xfId="1487" builtinId="9" hidden="1"/>
    <cellStyle name="Followed Hyperlink" xfId="1489" builtinId="9" hidden="1"/>
    <cellStyle name="Followed Hyperlink" xfId="1491" builtinId="9" hidden="1"/>
    <cellStyle name="Followed Hyperlink" xfId="1493" builtinId="9" hidden="1"/>
    <cellStyle name="Followed Hyperlink" xfId="1495" builtinId="9" hidden="1"/>
    <cellStyle name="Followed Hyperlink" xfId="1497" builtinId="9" hidden="1"/>
    <cellStyle name="Followed Hyperlink" xfId="1499" builtinId="9" hidden="1"/>
    <cellStyle name="Followed Hyperlink" xfId="1501" builtinId="9" hidden="1"/>
    <cellStyle name="Followed Hyperlink" xfId="1503" builtinId="9" hidden="1"/>
    <cellStyle name="Followed Hyperlink" xfId="1505" builtinId="9" hidden="1"/>
    <cellStyle name="Followed Hyperlink" xfId="1507" builtinId="9" hidden="1"/>
    <cellStyle name="Followed Hyperlink" xfId="1509" builtinId="9" hidden="1"/>
    <cellStyle name="Followed Hyperlink" xfId="1511" builtinId="9" hidden="1"/>
    <cellStyle name="Followed Hyperlink" xfId="1513" builtinId="9" hidden="1"/>
    <cellStyle name="Followed Hyperlink" xfId="1515" builtinId="9" hidden="1"/>
    <cellStyle name="Followed Hyperlink" xfId="1517" builtinId="9" hidden="1"/>
    <cellStyle name="Followed Hyperlink" xfId="1519" builtinId="9" hidden="1"/>
    <cellStyle name="Followed Hyperlink" xfId="1521" builtinId="9" hidden="1"/>
    <cellStyle name="Followed Hyperlink" xfId="1523" builtinId="9" hidden="1"/>
    <cellStyle name="Followed Hyperlink" xfId="1525" builtinId="9" hidden="1"/>
    <cellStyle name="Followed Hyperlink" xfId="1527" builtinId="9" hidden="1"/>
    <cellStyle name="Followed Hyperlink" xfId="1529" builtinId="9" hidden="1"/>
    <cellStyle name="Followed Hyperlink" xfId="1531" builtinId="9" hidden="1"/>
    <cellStyle name="Followed Hyperlink" xfId="1533" builtinId="9" hidden="1"/>
    <cellStyle name="Followed Hyperlink" xfId="1535" builtinId="9" hidden="1"/>
    <cellStyle name="Followed Hyperlink" xfId="1537" builtinId="9" hidden="1"/>
    <cellStyle name="Followed Hyperlink" xfId="1539" builtinId="9" hidden="1"/>
    <cellStyle name="Followed Hyperlink" xfId="1541" builtinId="9" hidden="1"/>
    <cellStyle name="Followed Hyperlink" xfId="1543" builtinId="9" hidden="1"/>
    <cellStyle name="Followed Hyperlink" xfId="1545" builtinId="9" hidden="1"/>
    <cellStyle name="Followed Hyperlink" xfId="1547" builtinId="9" hidden="1"/>
    <cellStyle name="Followed Hyperlink" xfId="1549" builtinId="9" hidden="1"/>
    <cellStyle name="Followed Hyperlink" xfId="1551" builtinId="9" hidden="1"/>
    <cellStyle name="Followed Hyperlink" xfId="1553" builtinId="9" hidden="1"/>
    <cellStyle name="Followed Hyperlink" xfId="1555" builtinId="9" hidden="1"/>
    <cellStyle name="Followed Hyperlink" xfId="1557" builtinId="9" hidden="1"/>
    <cellStyle name="Followed Hyperlink" xfId="1559" builtinId="9" hidden="1"/>
    <cellStyle name="Followed Hyperlink" xfId="1561" builtinId="9" hidden="1"/>
    <cellStyle name="Followed Hyperlink" xfId="1563" builtinId="9" hidden="1"/>
    <cellStyle name="Followed Hyperlink" xfId="1565" builtinId="9" hidden="1"/>
    <cellStyle name="Followed Hyperlink" xfId="1567" builtinId="9" hidden="1"/>
    <cellStyle name="Followed Hyperlink" xfId="1569" builtinId="9" hidden="1"/>
    <cellStyle name="Followed Hyperlink" xfId="1571" builtinId="9" hidden="1"/>
    <cellStyle name="Followed Hyperlink" xfId="1573" builtinId="9" hidden="1"/>
    <cellStyle name="Followed Hyperlink" xfId="1575" builtinId="9" hidden="1"/>
    <cellStyle name="Followed Hyperlink" xfId="1577" builtinId="9" hidden="1"/>
    <cellStyle name="Followed Hyperlink" xfId="1579" builtinId="9" hidden="1"/>
    <cellStyle name="Followed Hyperlink" xfId="1581" builtinId="9" hidden="1"/>
    <cellStyle name="Followed Hyperlink" xfId="1583" builtinId="9" hidden="1"/>
    <cellStyle name="Followed Hyperlink" xfId="1585" builtinId="9" hidden="1"/>
    <cellStyle name="Followed Hyperlink" xfId="1587" builtinId="9" hidden="1"/>
    <cellStyle name="Followed Hyperlink" xfId="1589" builtinId="9" hidden="1"/>
    <cellStyle name="Followed Hyperlink" xfId="1591" builtinId="9" hidden="1"/>
    <cellStyle name="Followed Hyperlink" xfId="1593" builtinId="9" hidden="1"/>
    <cellStyle name="Followed Hyperlink" xfId="1595" builtinId="9" hidden="1"/>
    <cellStyle name="Followed Hyperlink" xfId="1597" builtinId="9" hidden="1"/>
    <cellStyle name="Followed Hyperlink" xfId="1599" builtinId="9" hidden="1"/>
    <cellStyle name="Followed Hyperlink" xfId="1601" builtinId="9" hidden="1"/>
    <cellStyle name="Followed Hyperlink" xfId="1603" builtinId="9" hidden="1"/>
    <cellStyle name="Followed Hyperlink" xfId="1605" builtinId="9" hidden="1"/>
    <cellStyle name="Followed Hyperlink" xfId="1607" builtinId="9" hidden="1"/>
    <cellStyle name="Followed Hyperlink" xfId="1609" builtinId="9" hidden="1"/>
    <cellStyle name="Followed Hyperlink" xfId="1611" builtinId="9" hidden="1"/>
    <cellStyle name="Followed Hyperlink" xfId="1613" builtinId="9" hidden="1"/>
    <cellStyle name="Followed Hyperlink" xfId="1615" builtinId="9" hidden="1"/>
    <cellStyle name="Followed Hyperlink" xfId="1617" builtinId="9" hidden="1"/>
    <cellStyle name="Followed Hyperlink" xfId="1619" builtinId="9" hidden="1"/>
    <cellStyle name="Followed Hyperlink" xfId="1621" builtinId="9" hidden="1"/>
    <cellStyle name="Followed Hyperlink" xfId="1623" builtinId="9" hidden="1"/>
    <cellStyle name="Followed Hyperlink" xfId="1625" builtinId="9" hidden="1"/>
    <cellStyle name="Followed Hyperlink" xfId="1627" builtinId="9" hidden="1"/>
    <cellStyle name="Followed Hyperlink" xfId="1629" builtinId="9" hidden="1"/>
    <cellStyle name="Followed Hyperlink" xfId="1631" builtinId="9" hidden="1"/>
    <cellStyle name="Followed Hyperlink" xfId="1633" builtinId="9" hidden="1"/>
    <cellStyle name="Followed Hyperlink" xfId="1635" builtinId="9" hidden="1"/>
    <cellStyle name="Followed Hyperlink" xfId="1637" builtinId="9" hidden="1"/>
    <cellStyle name="Followed Hyperlink" xfId="1639" builtinId="9" hidden="1"/>
    <cellStyle name="Followed Hyperlink" xfId="1641" builtinId="9" hidden="1"/>
    <cellStyle name="Followed Hyperlink" xfId="1643" builtinId="9" hidden="1"/>
    <cellStyle name="Followed Hyperlink" xfId="1645" builtinId="9" hidden="1"/>
    <cellStyle name="Followed Hyperlink" xfId="1647" builtinId="9" hidden="1"/>
    <cellStyle name="Followed Hyperlink" xfId="1649" builtinId="9" hidden="1"/>
    <cellStyle name="Followed Hyperlink" xfId="1651" builtinId="9" hidden="1"/>
    <cellStyle name="Followed Hyperlink" xfId="1653" builtinId="9" hidden="1"/>
    <cellStyle name="Followed Hyperlink" xfId="1655" builtinId="9" hidden="1"/>
    <cellStyle name="Followed Hyperlink" xfId="1657" builtinId="9" hidden="1"/>
    <cellStyle name="Followed Hyperlink" xfId="1659" builtinId="9" hidden="1"/>
    <cellStyle name="Followed Hyperlink" xfId="1661" builtinId="9" hidden="1"/>
    <cellStyle name="Followed Hyperlink" xfId="1663" builtinId="9" hidden="1"/>
    <cellStyle name="Followed Hyperlink" xfId="1665" builtinId="9" hidden="1"/>
    <cellStyle name="Followed Hyperlink" xfId="1667" builtinId="9" hidden="1"/>
    <cellStyle name="Followed Hyperlink" xfId="1669" builtinId="9" hidden="1"/>
    <cellStyle name="Followed Hyperlink" xfId="1671" builtinId="9" hidden="1"/>
    <cellStyle name="Followed Hyperlink" xfId="1673" builtinId="9" hidden="1"/>
    <cellStyle name="Followed Hyperlink" xfId="1675" builtinId="9" hidden="1"/>
    <cellStyle name="Followed Hyperlink" xfId="1677" builtinId="9" hidden="1"/>
    <cellStyle name="Followed Hyperlink" xfId="1679" builtinId="9" hidden="1"/>
    <cellStyle name="Followed Hyperlink" xfId="1681" builtinId="9" hidden="1"/>
    <cellStyle name="Followed Hyperlink" xfId="1683" builtinId="9" hidden="1"/>
    <cellStyle name="Followed Hyperlink" xfId="1685" builtinId="9" hidden="1"/>
    <cellStyle name="Followed Hyperlink" xfId="1687" builtinId="9" hidden="1"/>
    <cellStyle name="Followed Hyperlink" xfId="1689" builtinId="9" hidden="1"/>
    <cellStyle name="Followed Hyperlink" xfId="1691" builtinId="9" hidden="1"/>
    <cellStyle name="Followed Hyperlink" xfId="1693" builtinId="9" hidden="1"/>
    <cellStyle name="Followed Hyperlink" xfId="1695" builtinId="9" hidden="1"/>
    <cellStyle name="Followed Hyperlink" xfId="1697" builtinId="9" hidden="1"/>
    <cellStyle name="Followed Hyperlink" xfId="1699" builtinId="9" hidden="1"/>
    <cellStyle name="Followed Hyperlink" xfId="1701" builtinId="9" hidden="1"/>
    <cellStyle name="Followed Hyperlink" xfId="1703" builtinId="9" hidden="1"/>
    <cellStyle name="Followed Hyperlink" xfId="1705" builtinId="9" hidden="1"/>
    <cellStyle name="Followed Hyperlink" xfId="1707" builtinId="9" hidden="1"/>
    <cellStyle name="Followed Hyperlink" xfId="1709" builtinId="9" hidden="1"/>
    <cellStyle name="Followed Hyperlink" xfId="1711" builtinId="9" hidden="1"/>
    <cellStyle name="Followed Hyperlink" xfId="1713" builtinId="9" hidden="1"/>
    <cellStyle name="Followed Hyperlink" xfId="1715" builtinId="9" hidden="1"/>
    <cellStyle name="Followed Hyperlink" xfId="1717" builtinId="9" hidden="1"/>
    <cellStyle name="Followed Hyperlink" xfId="1719" builtinId="9" hidden="1"/>
    <cellStyle name="Followed Hyperlink" xfId="1721" builtinId="9" hidden="1"/>
    <cellStyle name="Followed Hyperlink" xfId="1723" builtinId="9" hidden="1"/>
    <cellStyle name="Followed Hyperlink" xfId="1725" builtinId="9" hidden="1"/>
    <cellStyle name="Followed Hyperlink" xfId="1727" builtinId="9" hidden="1"/>
    <cellStyle name="Followed Hyperlink" xfId="1729" builtinId="9" hidden="1"/>
    <cellStyle name="Followed Hyperlink" xfId="1731" builtinId="9" hidden="1"/>
    <cellStyle name="Followed Hyperlink" xfId="1733" builtinId="9" hidden="1"/>
    <cellStyle name="Followed Hyperlink" xfId="1735" builtinId="9" hidden="1"/>
    <cellStyle name="Followed Hyperlink" xfId="1737" builtinId="9" hidden="1"/>
    <cellStyle name="Followed Hyperlink" xfId="1739" builtinId="9" hidden="1"/>
    <cellStyle name="Followed Hyperlink" xfId="1741" builtinId="9" hidden="1"/>
    <cellStyle name="Followed Hyperlink" xfId="1743" builtinId="9" hidden="1"/>
    <cellStyle name="Followed Hyperlink" xfId="1745" builtinId="9" hidden="1"/>
    <cellStyle name="Followed Hyperlink" xfId="1747" builtinId="9" hidden="1"/>
    <cellStyle name="Followed Hyperlink" xfId="1749" builtinId="9" hidden="1"/>
    <cellStyle name="Followed Hyperlink" xfId="1751" builtinId="9" hidden="1"/>
    <cellStyle name="Followed Hyperlink" xfId="1753" builtinId="9" hidden="1"/>
    <cellStyle name="Followed Hyperlink" xfId="1755" builtinId="9" hidden="1"/>
    <cellStyle name="Followed Hyperlink" xfId="1757" builtinId="9" hidden="1"/>
    <cellStyle name="Followed Hyperlink" xfId="1759" builtinId="9" hidden="1"/>
    <cellStyle name="Followed Hyperlink" xfId="1761" builtinId="9" hidden="1"/>
    <cellStyle name="Followed Hyperlink" xfId="1763" builtinId="9" hidden="1"/>
    <cellStyle name="Followed Hyperlink" xfId="1765" builtinId="9" hidden="1"/>
    <cellStyle name="Followed Hyperlink" xfId="1767" builtinId="9" hidden="1"/>
    <cellStyle name="Followed Hyperlink" xfId="1769" builtinId="9" hidden="1"/>
    <cellStyle name="Followed Hyperlink" xfId="1771" builtinId="9" hidden="1"/>
    <cellStyle name="Followed Hyperlink" xfId="1773" builtinId="9" hidden="1"/>
    <cellStyle name="Followed Hyperlink" xfId="1775" builtinId="9" hidden="1"/>
    <cellStyle name="Followed Hyperlink" xfId="1777" builtinId="9" hidden="1"/>
    <cellStyle name="Followed Hyperlink" xfId="1779" builtinId="9" hidden="1"/>
    <cellStyle name="Followed Hyperlink" xfId="1781" builtinId="9" hidden="1"/>
    <cellStyle name="Followed Hyperlink" xfId="1783" builtinId="9" hidden="1"/>
    <cellStyle name="Followed Hyperlink" xfId="1785" builtinId="9" hidden="1"/>
    <cellStyle name="Followed Hyperlink" xfId="1787" builtinId="9" hidden="1"/>
    <cellStyle name="Followed Hyperlink" xfId="1789" builtinId="9" hidden="1"/>
    <cellStyle name="Followed Hyperlink" xfId="1791" builtinId="9" hidden="1"/>
    <cellStyle name="Followed Hyperlink" xfId="1793" builtinId="9" hidden="1"/>
    <cellStyle name="Followed Hyperlink" xfId="1795" builtinId="9" hidden="1"/>
    <cellStyle name="Followed Hyperlink" xfId="1797" builtinId="9" hidden="1"/>
    <cellStyle name="Followed Hyperlink" xfId="1799" builtinId="9" hidden="1"/>
    <cellStyle name="Followed Hyperlink" xfId="1801" builtinId="9" hidden="1"/>
    <cellStyle name="Followed Hyperlink" xfId="1803" builtinId="9" hidden="1"/>
    <cellStyle name="Followed Hyperlink" xfId="1805" builtinId="9" hidden="1"/>
    <cellStyle name="Followed Hyperlink" xfId="1807" builtinId="9" hidden="1"/>
    <cellStyle name="Followed Hyperlink" xfId="1809" builtinId="9" hidden="1"/>
    <cellStyle name="Followed Hyperlink" xfId="1811" builtinId="9" hidden="1"/>
    <cellStyle name="Followed Hyperlink" xfId="1813" builtinId="9" hidden="1"/>
    <cellStyle name="Followed Hyperlink" xfId="1815" builtinId="9" hidden="1"/>
    <cellStyle name="Followed Hyperlink" xfId="1817" builtinId="9" hidden="1"/>
    <cellStyle name="Followed Hyperlink" xfId="1819" builtinId="9" hidden="1"/>
    <cellStyle name="Followed Hyperlink" xfId="1821" builtinId="9" hidden="1"/>
    <cellStyle name="Followed Hyperlink" xfId="1823" builtinId="9" hidden="1"/>
    <cellStyle name="Followed Hyperlink" xfId="1825" builtinId="9" hidden="1"/>
    <cellStyle name="Followed Hyperlink" xfId="1827" builtinId="9" hidden="1"/>
    <cellStyle name="Followed Hyperlink" xfId="1829" builtinId="9" hidden="1"/>
    <cellStyle name="Followed Hyperlink" xfId="1831" builtinId="9" hidden="1"/>
    <cellStyle name="Followed Hyperlink" xfId="1833" builtinId="9" hidden="1"/>
    <cellStyle name="Followed Hyperlink" xfId="1835" builtinId="9" hidden="1"/>
    <cellStyle name="Followed Hyperlink" xfId="1837" builtinId="9" hidden="1"/>
    <cellStyle name="Followed Hyperlink" xfId="1839" builtinId="9" hidden="1"/>
    <cellStyle name="Followed Hyperlink" xfId="1841" builtinId="9" hidden="1"/>
    <cellStyle name="Followed Hyperlink" xfId="1843" builtinId="9" hidden="1"/>
    <cellStyle name="Followed Hyperlink" xfId="1845" builtinId="9" hidden="1"/>
    <cellStyle name="Followed Hyperlink" xfId="1847" builtinId="9" hidden="1"/>
    <cellStyle name="Followed Hyperlink" xfId="1849" builtinId="9" hidden="1"/>
    <cellStyle name="Followed Hyperlink" xfId="1851" builtinId="9" hidden="1"/>
    <cellStyle name="Followed Hyperlink" xfId="1853" builtinId="9" hidden="1"/>
    <cellStyle name="Followed Hyperlink" xfId="1855" builtinId="9" hidden="1"/>
    <cellStyle name="Followed Hyperlink" xfId="1857" builtinId="9" hidden="1"/>
    <cellStyle name="Followed Hyperlink" xfId="1859" builtinId="9" hidden="1"/>
    <cellStyle name="Followed Hyperlink" xfId="1861" builtinId="9" hidden="1"/>
    <cellStyle name="Followed Hyperlink" xfId="1863" builtinId="9" hidden="1"/>
    <cellStyle name="Followed Hyperlink" xfId="1865" builtinId="9" hidden="1"/>
    <cellStyle name="Followed Hyperlink" xfId="1867" builtinId="9" hidden="1"/>
    <cellStyle name="Followed Hyperlink" xfId="1869" builtinId="9" hidden="1"/>
    <cellStyle name="Followed Hyperlink" xfId="1871" builtinId="9" hidden="1"/>
    <cellStyle name="Followed Hyperlink" xfId="1873" builtinId="9" hidden="1"/>
    <cellStyle name="Followed Hyperlink" xfId="1875" builtinId="9" hidden="1"/>
    <cellStyle name="Followed Hyperlink" xfId="1877" builtinId="9" hidden="1"/>
    <cellStyle name="Followed Hyperlink" xfId="1879" builtinId="9" hidden="1"/>
    <cellStyle name="Followed Hyperlink" xfId="1881" builtinId="9" hidden="1"/>
    <cellStyle name="Followed Hyperlink" xfId="1883" builtinId="9" hidden="1"/>
    <cellStyle name="Followed Hyperlink" xfId="1885" builtinId="9" hidden="1"/>
    <cellStyle name="Followed Hyperlink" xfId="1887" builtinId="9" hidden="1"/>
    <cellStyle name="Followed Hyperlink" xfId="1889" builtinId="9" hidden="1"/>
    <cellStyle name="Followed Hyperlink" xfId="1891" builtinId="9" hidden="1"/>
    <cellStyle name="Followed Hyperlink" xfId="1893" builtinId="9" hidden="1"/>
    <cellStyle name="Followed Hyperlink" xfId="1895" builtinId="9" hidden="1"/>
    <cellStyle name="Followed Hyperlink" xfId="1897" builtinId="9" hidden="1"/>
    <cellStyle name="Followed Hyperlink" xfId="1899" builtinId="9" hidden="1"/>
    <cellStyle name="Followed Hyperlink" xfId="1901" builtinId="9" hidden="1"/>
    <cellStyle name="Followed Hyperlink" xfId="1903" builtinId="9" hidden="1"/>
    <cellStyle name="Followed Hyperlink" xfId="1905" builtinId="9" hidden="1"/>
    <cellStyle name="Followed Hyperlink" xfId="1907" builtinId="9" hidden="1"/>
    <cellStyle name="Followed Hyperlink" xfId="1909" builtinId="9" hidden="1"/>
    <cellStyle name="Followed Hyperlink" xfId="1911" builtinId="9" hidden="1"/>
    <cellStyle name="Followed Hyperlink" xfId="1913" builtinId="9" hidden="1"/>
    <cellStyle name="Followed Hyperlink" xfId="1915" builtinId="9" hidden="1"/>
    <cellStyle name="Followed Hyperlink" xfId="1917" builtinId="9" hidden="1"/>
    <cellStyle name="Followed Hyperlink" xfId="1919" builtinId="9" hidden="1"/>
    <cellStyle name="Followed Hyperlink" xfId="1921" builtinId="9" hidden="1"/>
    <cellStyle name="Followed Hyperlink" xfId="1923" builtinId="9" hidden="1"/>
    <cellStyle name="Followed Hyperlink" xfId="1925" builtinId="9" hidden="1"/>
    <cellStyle name="Followed Hyperlink" xfId="1927" builtinId="9" hidden="1"/>
    <cellStyle name="Followed Hyperlink" xfId="1929" builtinId="9" hidden="1"/>
    <cellStyle name="Followed Hyperlink" xfId="1931" builtinId="9" hidden="1"/>
    <cellStyle name="Followed Hyperlink" xfId="1933" builtinId="9" hidden="1"/>
    <cellStyle name="Followed Hyperlink" xfId="1935" builtinId="9" hidden="1"/>
    <cellStyle name="Followed Hyperlink" xfId="1937" builtinId="9" hidden="1"/>
    <cellStyle name="Followed Hyperlink" xfId="1939" builtinId="9" hidden="1"/>
    <cellStyle name="Followed Hyperlink" xfId="1941" builtinId="9" hidden="1"/>
    <cellStyle name="Followed Hyperlink" xfId="1943" builtinId="9" hidden="1"/>
    <cellStyle name="Followed Hyperlink" xfId="1945" builtinId="9" hidden="1"/>
    <cellStyle name="Followed Hyperlink" xfId="1947" builtinId="9" hidden="1"/>
    <cellStyle name="Followed Hyperlink" xfId="1949" builtinId="9" hidden="1"/>
    <cellStyle name="Followed Hyperlink" xfId="1951" builtinId="9" hidden="1"/>
    <cellStyle name="Followed Hyperlink" xfId="1953" builtinId="9" hidden="1"/>
    <cellStyle name="Followed Hyperlink" xfId="1955" builtinId="9" hidden="1"/>
    <cellStyle name="Followed Hyperlink" xfId="1957" builtinId="9" hidden="1"/>
    <cellStyle name="Followed Hyperlink" xfId="1959" builtinId="9" hidden="1"/>
    <cellStyle name="Followed Hyperlink" xfId="1961" builtinId="9" hidden="1"/>
    <cellStyle name="Followed Hyperlink" xfId="1963" builtinId="9" hidden="1"/>
    <cellStyle name="Followed Hyperlink" xfId="1965" builtinId="9" hidden="1"/>
    <cellStyle name="Followed Hyperlink" xfId="1967" builtinId="9" hidden="1"/>
    <cellStyle name="Followed Hyperlink" xfId="1969" builtinId="9" hidden="1"/>
    <cellStyle name="Followed Hyperlink" xfId="1971" builtinId="9" hidden="1"/>
    <cellStyle name="Followed Hyperlink" xfId="1973" builtinId="9" hidden="1"/>
    <cellStyle name="Followed Hyperlink" xfId="1975" builtinId="9" hidden="1"/>
    <cellStyle name="Followed Hyperlink" xfId="1977" builtinId="9" hidden="1"/>
    <cellStyle name="Followed Hyperlink" xfId="1979" builtinId="9" hidden="1"/>
    <cellStyle name="Followed Hyperlink" xfId="1981" builtinId="9" hidden="1"/>
    <cellStyle name="Followed Hyperlink" xfId="1983" builtinId="9" hidden="1"/>
    <cellStyle name="Followed Hyperlink" xfId="1985" builtinId="9" hidden="1"/>
    <cellStyle name="Followed Hyperlink" xfId="1987" builtinId="9" hidden="1"/>
    <cellStyle name="Followed Hyperlink" xfId="1989" builtinId="9" hidden="1"/>
    <cellStyle name="Followed Hyperlink" xfId="1991" builtinId="9" hidden="1"/>
    <cellStyle name="Followed Hyperlink" xfId="1993" builtinId="9" hidden="1"/>
    <cellStyle name="Followed Hyperlink" xfId="1995" builtinId="9" hidden="1"/>
    <cellStyle name="Followed Hyperlink" xfId="1997" builtinId="9" hidden="1"/>
    <cellStyle name="Followed Hyperlink" xfId="1999" builtinId="9" hidden="1"/>
    <cellStyle name="Followed Hyperlink" xfId="2001" builtinId="9" hidden="1"/>
    <cellStyle name="Followed Hyperlink" xfId="2003" builtinId="9" hidden="1"/>
    <cellStyle name="Followed Hyperlink" xfId="2005" builtinId="9" hidden="1"/>
    <cellStyle name="Followed Hyperlink" xfId="2007" builtinId="9" hidden="1"/>
    <cellStyle name="Followed Hyperlink" xfId="2009" builtinId="9" hidden="1"/>
    <cellStyle name="Followed Hyperlink" xfId="2011" builtinId="9" hidden="1"/>
    <cellStyle name="Followed Hyperlink" xfId="2013" builtinId="9" hidden="1"/>
    <cellStyle name="Followed Hyperlink" xfId="2015" builtinId="9" hidden="1"/>
    <cellStyle name="Followed Hyperlink" xfId="2017" builtinId="9" hidden="1"/>
    <cellStyle name="Followed Hyperlink" xfId="2019" builtinId="9" hidden="1"/>
    <cellStyle name="Followed Hyperlink" xfId="2021" builtinId="9" hidden="1"/>
    <cellStyle name="Followed Hyperlink" xfId="2023" builtinId="9" hidden="1"/>
    <cellStyle name="Followed Hyperlink" xfId="2025" builtinId="9" hidden="1"/>
    <cellStyle name="Followed Hyperlink" xfId="2027" builtinId="9" hidden="1"/>
    <cellStyle name="Followed Hyperlink" xfId="2029" builtinId="9" hidden="1"/>
    <cellStyle name="Followed Hyperlink" xfId="2031" builtinId="9" hidden="1"/>
    <cellStyle name="Followed Hyperlink" xfId="2033" builtinId="9" hidden="1"/>
    <cellStyle name="Followed Hyperlink" xfId="2035" builtinId="9" hidden="1"/>
    <cellStyle name="Followed Hyperlink" xfId="2037" builtinId="9" hidden="1"/>
    <cellStyle name="Followed Hyperlink" xfId="2039" builtinId="9" hidden="1"/>
    <cellStyle name="Followed Hyperlink" xfId="2041" builtinId="9" hidden="1"/>
    <cellStyle name="Followed Hyperlink" xfId="2043" builtinId="9" hidden="1"/>
    <cellStyle name="Followed Hyperlink" xfId="2045" builtinId="9" hidden="1"/>
    <cellStyle name="Followed Hyperlink" xfId="2047" builtinId="9" hidden="1"/>
    <cellStyle name="Followed Hyperlink" xfId="2049" builtinId="9" hidden="1"/>
    <cellStyle name="Followed Hyperlink" xfId="2051" builtinId="9" hidden="1"/>
    <cellStyle name="Followed Hyperlink" xfId="2053" builtinId="9" hidden="1"/>
    <cellStyle name="Followed Hyperlink" xfId="2055" builtinId="9" hidden="1"/>
    <cellStyle name="Followed Hyperlink" xfId="2057" builtinId="9" hidden="1"/>
    <cellStyle name="Followed Hyperlink" xfId="2059" builtinId="9" hidden="1"/>
    <cellStyle name="Followed Hyperlink" xfId="2061" builtinId="9" hidden="1"/>
    <cellStyle name="Followed Hyperlink" xfId="2063" builtinId="9" hidden="1"/>
    <cellStyle name="Followed Hyperlink" xfId="2065" builtinId="9" hidden="1"/>
    <cellStyle name="Followed Hyperlink" xfId="2067" builtinId="9" hidden="1"/>
    <cellStyle name="Followed Hyperlink" xfId="2069" builtinId="9" hidden="1"/>
    <cellStyle name="Followed Hyperlink" xfId="2071" builtinId="9" hidden="1"/>
    <cellStyle name="Followed Hyperlink" xfId="2073" builtinId="9" hidden="1"/>
    <cellStyle name="Followed Hyperlink" xfId="2075" builtinId="9" hidden="1"/>
    <cellStyle name="Followed Hyperlink" xfId="2077" builtinId="9" hidden="1"/>
    <cellStyle name="Followed Hyperlink" xfId="2079" builtinId="9" hidden="1"/>
    <cellStyle name="Followed Hyperlink" xfId="2081" builtinId="9" hidden="1"/>
    <cellStyle name="Followed Hyperlink" xfId="2083" builtinId="9" hidden="1"/>
    <cellStyle name="Followed Hyperlink" xfId="2085" builtinId="9" hidden="1"/>
    <cellStyle name="Followed Hyperlink" xfId="2087" builtinId="9" hidden="1"/>
    <cellStyle name="Followed Hyperlink" xfId="2089" builtinId="9" hidden="1"/>
    <cellStyle name="Followed Hyperlink" xfId="2091" builtinId="9" hidden="1"/>
    <cellStyle name="Followed Hyperlink" xfId="2093" builtinId="9" hidden="1"/>
    <cellStyle name="Followed Hyperlink" xfId="2095" builtinId="9" hidden="1"/>
    <cellStyle name="Followed Hyperlink" xfId="2097" builtinId="9" hidden="1"/>
    <cellStyle name="Followed Hyperlink" xfId="2099" builtinId="9" hidden="1"/>
    <cellStyle name="Followed Hyperlink" xfId="2101" builtinId="9" hidden="1"/>
    <cellStyle name="Followed Hyperlink" xfId="2103" builtinId="9" hidden="1"/>
    <cellStyle name="Followed Hyperlink" xfId="2105" builtinId="9" hidden="1"/>
    <cellStyle name="Followed Hyperlink" xfId="2107" builtinId="9" hidden="1"/>
    <cellStyle name="Followed Hyperlink" xfId="2109" builtinId="9" hidden="1"/>
    <cellStyle name="Followed Hyperlink" xfId="2111" builtinId="9" hidden="1"/>
    <cellStyle name="Followed Hyperlink" xfId="2113" builtinId="9" hidden="1"/>
    <cellStyle name="Followed Hyperlink" xfId="2115" builtinId="9" hidden="1"/>
    <cellStyle name="Followed Hyperlink" xfId="2117" builtinId="9" hidden="1"/>
    <cellStyle name="Followed Hyperlink" xfId="2119" builtinId="9" hidden="1"/>
    <cellStyle name="Followed Hyperlink" xfId="2121" builtinId="9" hidden="1"/>
    <cellStyle name="Followed Hyperlink" xfId="2123" builtinId="9" hidden="1"/>
    <cellStyle name="Followed Hyperlink" xfId="2125" builtinId="9" hidden="1"/>
    <cellStyle name="Followed Hyperlink" xfId="2127" builtinId="9" hidden="1"/>
    <cellStyle name="Followed Hyperlink" xfId="2129" builtinId="9" hidden="1"/>
    <cellStyle name="Followed Hyperlink" xfId="2131" builtinId="9" hidden="1"/>
    <cellStyle name="Followed Hyperlink" xfId="2133" builtinId="9" hidden="1"/>
    <cellStyle name="Followed Hyperlink" xfId="2135" builtinId="9" hidden="1"/>
    <cellStyle name="Followed Hyperlink" xfId="2137" builtinId="9" hidden="1"/>
    <cellStyle name="Followed Hyperlink" xfId="2139" builtinId="9" hidden="1"/>
    <cellStyle name="Followed Hyperlink" xfId="2141" builtinId="9" hidden="1"/>
    <cellStyle name="Followed Hyperlink" xfId="2143" builtinId="9" hidden="1"/>
    <cellStyle name="Followed Hyperlink" xfId="2145" builtinId="9" hidden="1"/>
    <cellStyle name="Followed Hyperlink" xfId="2147" builtinId="9" hidden="1"/>
    <cellStyle name="Followed Hyperlink" xfId="2149" builtinId="9" hidden="1"/>
    <cellStyle name="Followed Hyperlink" xfId="2151" builtinId="9" hidden="1"/>
    <cellStyle name="Followed Hyperlink" xfId="2153" builtinId="9" hidden="1"/>
    <cellStyle name="Followed Hyperlink" xfId="2155" builtinId="9" hidden="1"/>
    <cellStyle name="Followed Hyperlink" xfId="2157" builtinId="9" hidden="1"/>
    <cellStyle name="Followed Hyperlink" xfId="2159" builtinId="9" hidden="1"/>
    <cellStyle name="Followed Hyperlink" xfId="2161" builtinId="9" hidden="1"/>
    <cellStyle name="Followed Hyperlink" xfId="2163" builtinId="9" hidden="1"/>
    <cellStyle name="Followed Hyperlink" xfId="2165" builtinId="9" hidden="1"/>
    <cellStyle name="Followed Hyperlink" xfId="2167" builtinId="9" hidden="1"/>
    <cellStyle name="Followed Hyperlink" xfId="2169" builtinId="9" hidden="1"/>
    <cellStyle name="Followed Hyperlink" xfId="2171" builtinId="9" hidden="1"/>
    <cellStyle name="Followed Hyperlink" xfId="2173" builtinId="9" hidden="1"/>
    <cellStyle name="Followed Hyperlink" xfId="2175" builtinId="9" hidden="1"/>
    <cellStyle name="Followed Hyperlink" xfId="2177" builtinId="9" hidden="1"/>
    <cellStyle name="Followed Hyperlink" xfId="2179" builtinId="9" hidden="1"/>
    <cellStyle name="Followed Hyperlink" xfId="2181" builtinId="9" hidden="1"/>
    <cellStyle name="Followed Hyperlink" xfId="2183" builtinId="9" hidden="1"/>
    <cellStyle name="Followed Hyperlink" xfId="2185" builtinId="9" hidden="1"/>
    <cellStyle name="Followed Hyperlink" xfId="2187" builtinId="9" hidden="1"/>
    <cellStyle name="Followed Hyperlink" xfId="2189" builtinId="9" hidden="1"/>
    <cellStyle name="Followed Hyperlink" xfId="2191" builtinId="9" hidden="1"/>
    <cellStyle name="Followed Hyperlink" xfId="2193" builtinId="9" hidden="1"/>
    <cellStyle name="Followed Hyperlink" xfId="2195" builtinId="9" hidden="1"/>
    <cellStyle name="Followed Hyperlink" xfId="2197" builtinId="9" hidden="1"/>
    <cellStyle name="Followed Hyperlink" xfId="2199" builtinId="9" hidden="1"/>
    <cellStyle name="Followed Hyperlink" xfId="2201" builtinId="9" hidden="1"/>
    <cellStyle name="Followed Hyperlink" xfId="2203" builtinId="9" hidden="1"/>
    <cellStyle name="Followed Hyperlink" xfId="2205" builtinId="9" hidden="1"/>
    <cellStyle name="Followed Hyperlink" xfId="2207" builtinId="9" hidden="1"/>
    <cellStyle name="Followed Hyperlink" xfId="2209" builtinId="9" hidden="1"/>
    <cellStyle name="Followed Hyperlink" xfId="2211" builtinId="9" hidden="1"/>
    <cellStyle name="Followed Hyperlink" xfId="2213" builtinId="9" hidden="1"/>
    <cellStyle name="Followed Hyperlink" xfId="2215" builtinId="9" hidden="1"/>
    <cellStyle name="Followed Hyperlink" xfId="2217" builtinId="9" hidden="1"/>
    <cellStyle name="Followed Hyperlink" xfId="2219" builtinId="9" hidden="1"/>
    <cellStyle name="Followed Hyperlink" xfId="2221" builtinId="9" hidden="1"/>
    <cellStyle name="Followed Hyperlink" xfId="2223" builtinId="9" hidden="1"/>
    <cellStyle name="Followed Hyperlink" xfId="2225" builtinId="9" hidden="1"/>
    <cellStyle name="Followed Hyperlink" xfId="2227" builtinId="9" hidden="1"/>
    <cellStyle name="Followed Hyperlink" xfId="2229" builtinId="9" hidden="1"/>
    <cellStyle name="Followed Hyperlink" xfId="2231" builtinId="9" hidden="1"/>
    <cellStyle name="Followed Hyperlink" xfId="2233" builtinId="9" hidden="1"/>
    <cellStyle name="Followed Hyperlink" xfId="2235" builtinId="9" hidden="1"/>
    <cellStyle name="Followed Hyperlink" xfId="2237" builtinId="9" hidden="1"/>
    <cellStyle name="Followed Hyperlink" xfId="2239" builtinId="9" hidden="1"/>
    <cellStyle name="Followed Hyperlink" xfId="2241" builtinId="9" hidden="1"/>
    <cellStyle name="Followed Hyperlink" xfId="2243" builtinId="9" hidden="1"/>
    <cellStyle name="Followed Hyperlink" xfId="2245" builtinId="9" hidden="1"/>
    <cellStyle name="Followed Hyperlink" xfId="2247" builtinId="9" hidden="1"/>
    <cellStyle name="Followed Hyperlink" xfId="2249" builtinId="9" hidden="1"/>
    <cellStyle name="Followed Hyperlink" xfId="2251" builtinId="9" hidden="1"/>
    <cellStyle name="Followed Hyperlink" xfId="2253" builtinId="9" hidden="1"/>
    <cellStyle name="Followed Hyperlink" xfId="2255" builtinId="9" hidden="1"/>
    <cellStyle name="Followed Hyperlink" xfId="2257" builtinId="9" hidden="1"/>
    <cellStyle name="Followed Hyperlink" xfId="2259" builtinId="9" hidden="1"/>
    <cellStyle name="Followed Hyperlink" xfId="2261" builtinId="9" hidden="1"/>
    <cellStyle name="Followed Hyperlink" xfId="2263" builtinId="9" hidden="1"/>
    <cellStyle name="Followed Hyperlink" xfId="2265" builtinId="9" hidden="1"/>
    <cellStyle name="Followed Hyperlink" xfId="2267" builtinId="9" hidden="1"/>
    <cellStyle name="Followed Hyperlink" xfId="2269" builtinId="9" hidden="1"/>
    <cellStyle name="Followed Hyperlink" xfId="2271" builtinId="9" hidden="1"/>
    <cellStyle name="Followed Hyperlink" xfId="2273" builtinId="9" hidden="1"/>
    <cellStyle name="Followed Hyperlink" xfId="2275" builtinId="9" hidden="1"/>
    <cellStyle name="Followed Hyperlink" xfId="2277" builtinId="9" hidden="1"/>
    <cellStyle name="Followed Hyperlink" xfId="2279" builtinId="9" hidden="1"/>
    <cellStyle name="Followed Hyperlink" xfId="2281" builtinId="9" hidden="1"/>
    <cellStyle name="Followed Hyperlink" xfId="2283" builtinId="9" hidden="1"/>
    <cellStyle name="Followed Hyperlink" xfId="2285" builtinId="9" hidden="1"/>
    <cellStyle name="Followed Hyperlink" xfId="2287" builtinId="9" hidden="1"/>
    <cellStyle name="Followed Hyperlink" xfId="2289" builtinId="9" hidden="1"/>
    <cellStyle name="Followed Hyperlink" xfId="2291" builtinId="9" hidden="1"/>
    <cellStyle name="Followed Hyperlink" xfId="2293" builtinId="9" hidden="1"/>
    <cellStyle name="Followed Hyperlink" xfId="2295" builtinId="9" hidden="1"/>
    <cellStyle name="Followed Hyperlink" xfId="2297" builtinId="9" hidden="1"/>
    <cellStyle name="Followed Hyperlink" xfId="2299" builtinId="9" hidden="1"/>
    <cellStyle name="Followed Hyperlink" xfId="2301" builtinId="9" hidden="1"/>
    <cellStyle name="Followed Hyperlink" xfId="2303" builtinId="9" hidden="1"/>
    <cellStyle name="Followed Hyperlink" xfId="2305" builtinId="9" hidden="1"/>
    <cellStyle name="Followed Hyperlink" xfId="2307" builtinId="9" hidden="1"/>
    <cellStyle name="Followed Hyperlink" xfId="2309" builtinId="9" hidden="1"/>
    <cellStyle name="Followed Hyperlink" xfId="2311" builtinId="9" hidden="1"/>
    <cellStyle name="Followed Hyperlink" xfId="2313" builtinId="9" hidden="1"/>
    <cellStyle name="Followed Hyperlink" xfId="2315" builtinId="9" hidden="1"/>
    <cellStyle name="Followed Hyperlink" xfId="2317" builtinId="9" hidden="1"/>
    <cellStyle name="Followed Hyperlink" xfId="2319" builtinId="9" hidden="1"/>
    <cellStyle name="Followed Hyperlink" xfId="2321" builtinId="9" hidden="1"/>
    <cellStyle name="Followed Hyperlink" xfId="2323" builtinId="9" hidden="1"/>
    <cellStyle name="Followed Hyperlink" xfId="2325" builtinId="9" hidden="1"/>
    <cellStyle name="Followed Hyperlink" xfId="2327" builtinId="9" hidden="1"/>
    <cellStyle name="Followed Hyperlink" xfId="2329" builtinId="9" hidden="1"/>
    <cellStyle name="Followed Hyperlink" xfId="2331" builtinId="9" hidden="1"/>
    <cellStyle name="Followed Hyperlink" xfId="2333" builtinId="9" hidden="1"/>
    <cellStyle name="Followed Hyperlink" xfId="2335" builtinId="9" hidden="1"/>
    <cellStyle name="Followed Hyperlink" xfId="2337" builtinId="9" hidden="1"/>
    <cellStyle name="Followed Hyperlink" xfId="2339" builtinId="9" hidden="1"/>
    <cellStyle name="Followed Hyperlink" xfId="2342" builtinId="9" hidden="1"/>
    <cellStyle name="Followed Hyperlink" xfId="2344" builtinId="9" hidden="1"/>
    <cellStyle name="Followed Hyperlink" xfId="2346" builtinId="9" hidden="1"/>
    <cellStyle name="Followed Hyperlink" xfId="2348" builtinId="9" hidden="1"/>
    <cellStyle name="Followed Hyperlink" xfId="2350" builtinId="9" hidden="1"/>
    <cellStyle name="Followed Hyperlink" xfId="2352" builtinId="9" hidden="1"/>
    <cellStyle name="Followed Hyperlink" xfId="2354" builtinId="9" hidden="1"/>
    <cellStyle name="Followed Hyperlink" xfId="2356" builtinId="9" hidden="1"/>
    <cellStyle name="Followed Hyperlink" xfId="2358" builtinId="9" hidden="1"/>
    <cellStyle name="Followed Hyperlink" xfId="2360" builtinId="9" hidden="1"/>
    <cellStyle name="Followed Hyperlink" xfId="2362" builtinId="9" hidden="1"/>
    <cellStyle name="Followed Hyperlink" xfId="2364" builtinId="9" hidden="1"/>
    <cellStyle name="Followed Hyperlink" xfId="2366" builtinId="9" hidden="1"/>
    <cellStyle name="Followed Hyperlink" xfId="2368" builtinId="9" hidden="1"/>
    <cellStyle name="Followed Hyperlink" xfId="2370" builtinId="9" hidden="1"/>
    <cellStyle name="Followed Hyperlink" xfId="2372" builtinId="9" hidden="1"/>
    <cellStyle name="Followed Hyperlink" xfId="2374" builtinId="9" hidden="1"/>
    <cellStyle name="Followed Hyperlink" xfId="2376" builtinId="9" hidden="1"/>
    <cellStyle name="Followed Hyperlink" xfId="2378" builtinId="9" hidden="1"/>
    <cellStyle name="Followed Hyperlink" xfId="2380" builtinId="9" hidden="1"/>
    <cellStyle name="Followed Hyperlink" xfId="2382" builtinId="9" hidden="1"/>
    <cellStyle name="Followed Hyperlink" xfId="2384" builtinId="9" hidden="1"/>
    <cellStyle name="Followed Hyperlink" xfId="2386" builtinId="9" hidden="1"/>
    <cellStyle name="Followed Hyperlink" xfId="2388" builtinId="9" hidden="1"/>
    <cellStyle name="Followed Hyperlink" xfId="2390" builtinId="9" hidden="1"/>
    <cellStyle name="Followed Hyperlink" xfId="2392" builtinId="9" hidden="1"/>
    <cellStyle name="Followed Hyperlink" xfId="2394" builtinId="9" hidden="1"/>
    <cellStyle name="Followed Hyperlink" xfId="2396" builtinId="9" hidden="1"/>
    <cellStyle name="Followed Hyperlink" xfId="2398" builtinId="9" hidden="1"/>
    <cellStyle name="Followed Hyperlink" xfId="2400" builtinId="9" hidden="1"/>
    <cellStyle name="Followed Hyperlink" xfId="2402" builtinId="9" hidden="1"/>
    <cellStyle name="Followed Hyperlink" xfId="2404" builtinId="9" hidden="1"/>
    <cellStyle name="Followed Hyperlink" xfId="2406" builtinId="9" hidden="1"/>
    <cellStyle name="Followed Hyperlink" xfId="2408" builtinId="9" hidden="1"/>
    <cellStyle name="Followed Hyperlink" xfId="2410" builtinId="9" hidden="1"/>
    <cellStyle name="Followed Hyperlink" xfId="2412" builtinId="9" hidden="1"/>
    <cellStyle name="Followed Hyperlink" xfId="2414" builtinId="9" hidden="1"/>
    <cellStyle name="Followed Hyperlink" xfId="2416" builtinId="9" hidden="1"/>
    <cellStyle name="Followed Hyperlink" xfId="2418" builtinId="9" hidden="1"/>
    <cellStyle name="Followed Hyperlink" xfId="2420" builtinId="9" hidden="1"/>
    <cellStyle name="Followed Hyperlink" xfId="2422" builtinId="9" hidden="1"/>
    <cellStyle name="Followed Hyperlink" xfId="2424" builtinId="9" hidden="1"/>
    <cellStyle name="Followed Hyperlink" xfId="2426" builtinId="9" hidden="1"/>
    <cellStyle name="Followed Hyperlink" xfId="2428" builtinId="9" hidden="1"/>
    <cellStyle name="Followed Hyperlink" xfId="2430" builtinId="9" hidden="1"/>
    <cellStyle name="Followed Hyperlink" xfId="2432" builtinId="9" hidden="1"/>
    <cellStyle name="Followed Hyperlink" xfId="2434" builtinId="9" hidden="1"/>
    <cellStyle name="Followed Hyperlink" xfId="2436" builtinId="9" hidden="1"/>
    <cellStyle name="Followed Hyperlink" xfId="2438" builtinId="9" hidden="1"/>
    <cellStyle name="Followed Hyperlink" xfId="2440" builtinId="9" hidden="1"/>
    <cellStyle name="Followed Hyperlink" xfId="2442" builtinId="9" hidden="1"/>
    <cellStyle name="Followed Hyperlink" xfId="2444" builtinId="9" hidden="1"/>
    <cellStyle name="Followed Hyperlink" xfId="2446" builtinId="9" hidden="1"/>
    <cellStyle name="Followed Hyperlink" xfId="2448" builtinId="9" hidden="1"/>
    <cellStyle name="Followed Hyperlink" xfId="2450" builtinId="9" hidden="1"/>
    <cellStyle name="Followed Hyperlink" xfId="2452" builtinId="9" hidden="1"/>
    <cellStyle name="Followed Hyperlink" xfId="2454" builtinId="9" hidden="1"/>
    <cellStyle name="Followed Hyperlink" xfId="2456" builtinId="9" hidden="1"/>
    <cellStyle name="Followed Hyperlink" xfId="2458" builtinId="9" hidden="1"/>
    <cellStyle name="Followed Hyperlink" xfId="2460" builtinId="9" hidden="1"/>
    <cellStyle name="Followed Hyperlink" xfId="2462" builtinId="9" hidden="1"/>
    <cellStyle name="Followed Hyperlink" xfId="2464" builtinId="9" hidden="1"/>
    <cellStyle name="Followed Hyperlink" xfId="2466" builtinId="9" hidden="1"/>
    <cellStyle name="Followed Hyperlink" xfId="2468" builtinId="9" hidden="1"/>
    <cellStyle name="Followed Hyperlink" xfId="2470" builtinId="9" hidden="1"/>
    <cellStyle name="Followed Hyperlink" xfId="2472" builtinId="9" hidden="1"/>
    <cellStyle name="Followed Hyperlink" xfId="2474" builtinId="9" hidden="1"/>
    <cellStyle name="Followed Hyperlink" xfId="2476" builtinId="9" hidden="1"/>
    <cellStyle name="Followed Hyperlink" xfId="2478" builtinId="9" hidden="1"/>
    <cellStyle name="Followed Hyperlink" xfId="2480" builtinId="9" hidden="1"/>
    <cellStyle name="Followed Hyperlink" xfId="2482" builtinId="9" hidden="1"/>
    <cellStyle name="Followed Hyperlink" xfId="2484" builtinId="9" hidden="1"/>
    <cellStyle name="Followed Hyperlink" xfId="2486" builtinId="9" hidden="1"/>
    <cellStyle name="Followed Hyperlink" xfId="2488" builtinId="9" hidden="1"/>
    <cellStyle name="Followed Hyperlink" xfId="2490" builtinId="9" hidden="1"/>
    <cellStyle name="Followed Hyperlink" xfId="2492" builtinId="9" hidden="1"/>
    <cellStyle name="Followed Hyperlink" xfId="2494" builtinId="9" hidden="1"/>
    <cellStyle name="Followed Hyperlink" xfId="2496" builtinId="9" hidden="1"/>
    <cellStyle name="Followed Hyperlink" xfId="2498" builtinId="9" hidden="1"/>
    <cellStyle name="Followed Hyperlink" xfId="2500" builtinId="9" hidden="1"/>
    <cellStyle name="Followed Hyperlink" xfId="2502" builtinId="9" hidden="1"/>
    <cellStyle name="Followed Hyperlink" xfId="2504" builtinId="9" hidden="1"/>
    <cellStyle name="Followed Hyperlink" xfId="2506" builtinId="9" hidden="1"/>
    <cellStyle name="Followed Hyperlink" xfId="2508" builtinId="9" hidden="1"/>
    <cellStyle name="Followed Hyperlink" xfId="2510" builtinId="9" hidden="1"/>
    <cellStyle name="Followed Hyperlink" xfId="2512" builtinId="9" hidden="1"/>
    <cellStyle name="Followed Hyperlink" xfId="2514" builtinId="9" hidden="1"/>
    <cellStyle name="Followed Hyperlink" xfId="2516" builtinId="9" hidden="1"/>
    <cellStyle name="Followed Hyperlink" xfId="2518" builtinId="9" hidden="1"/>
    <cellStyle name="Followed Hyperlink" xfId="2520" builtinId="9" hidden="1"/>
    <cellStyle name="Followed Hyperlink" xfId="2522" builtinId="9" hidden="1"/>
    <cellStyle name="Followed Hyperlink" xfId="2524" builtinId="9" hidden="1"/>
    <cellStyle name="Followed Hyperlink" xfId="2526" builtinId="9" hidden="1"/>
    <cellStyle name="Followed Hyperlink" xfId="2528" builtinId="9" hidden="1"/>
    <cellStyle name="Followed Hyperlink" xfId="2530" builtinId="9" hidden="1"/>
    <cellStyle name="Followed Hyperlink" xfId="2532" builtinId="9" hidden="1"/>
    <cellStyle name="Followed Hyperlink" xfId="2534" builtinId="9" hidden="1"/>
    <cellStyle name="Followed Hyperlink" xfId="2536" builtinId="9" hidden="1"/>
    <cellStyle name="Followed Hyperlink" xfId="2538" builtinId="9" hidden="1"/>
    <cellStyle name="Followed Hyperlink" xfId="2540" builtinId="9" hidden="1"/>
    <cellStyle name="Followed Hyperlink" xfId="2542" builtinId="9" hidden="1"/>
    <cellStyle name="Followed Hyperlink" xfId="2544" builtinId="9" hidden="1"/>
    <cellStyle name="Followed Hyperlink" xfId="2546" builtinId="9" hidden="1"/>
    <cellStyle name="Followed Hyperlink" xfId="2548" builtinId="9" hidden="1"/>
    <cellStyle name="Followed Hyperlink" xfId="2550" builtinId="9" hidden="1"/>
    <cellStyle name="Followed Hyperlink" xfId="2552" builtinId="9" hidden="1"/>
    <cellStyle name="Followed Hyperlink" xfId="2554"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24" builtinId="8" hidden="1"/>
    <cellStyle name="Hyperlink" xfId="426" builtinId="8" hidden="1"/>
    <cellStyle name="Hyperlink" xfId="428" builtinId="8" hidden="1"/>
    <cellStyle name="Hyperlink" xfId="430" builtinId="8" hidden="1"/>
    <cellStyle name="Hyperlink" xfId="432" builtinId="8" hidden="1"/>
    <cellStyle name="Hyperlink" xfId="434" builtinId="8" hidden="1"/>
    <cellStyle name="Hyperlink" xfId="436" builtinId="8" hidden="1"/>
    <cellStyle name="Hyperlink" xfId="438" builtinId="8" hidden="1"/>
    <cellStyle name="Hyperlink" xfId="440" builtinId="8" hidden="1"/>
    <cellStyle name="Hyperlink" xfId="442"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Hyperlink" xfId="797" builtinId="8" hidden="1"/>
    <cellStyle name="Hyperlink" xfId="799" builtinId="8" hidden="1"/>
    <cellStyle name="Hyperlink" xfId="801" builtinId="8" hidden="1"/>
    <cellStyle name="Hyperlink" xfId="803" builtinId="8" hidden="1"/>
    <cellStyle name="Hyperlink" xfId="805" builtinId="8" hidden="1"/>
    <cellStyle name="Hyperlink" xfId="807" builtinId="8" hidden="1"/>
    <cellStyle name="Hyperlink" xfId="809" builtinId="8" hidden="1"/>
    <cellStyle name="Hyperlink" xfId="811" builtinId="8" hidden="1"/>
    <cellStyle name="Hyperlink" xfId="813" builtinId="8" hidden="1"/>
    <cellStyle name="Hyperlink" xfId="815" builtinId="8" hidden="1"/>
    <cellStyle name="Hyperlink" xfId="817" builtinId="8" hidden="1"/>
    <cellStyle name="Hyperlink" xfId="819" builtinId="8" hidden="1"/>
    <cellStyle name="Hyperlink" xfId="821" builtinId="8" hidden="1"/>
    <cellStyle name="Hyperlink" xfId="823" builtinId="8" hidden="1"/>
    <cellStyle name="Hyperlink" xfId="825" builtinId="8" hidden="1"/>
    <cellStyle name="Hyperlink" xfId="827" builtinId="8" hidden="1"/>
    <cellStyle name="Hyperlink" xfId="829" builtinId="8" hidden="1"/>
    <cellStyle name="Hyperlink" xfId="831" builtinId="8" hidden="1"/>
    <cellStyle name="Hyperlink" xfId="833" builtinId="8" hidden="1"/>
    <cellStyle name="Hyperlink" xfId="835" builtinId="8" hidden="1"/>
    <cellStyle name="Hyperlink" xfId="837" builtinId="8" hidden="1"/>
    <cellStyle name="Hyperlink" xfId="839" builtinId="8" hidden="1"/>
    <cellStyle name="Hyperlink" xfId="841" builtinId="8" hidden="1"/>
    <cellStyle name="Hyperlink" xfId="845" builtinId="8" hidden="1"/>
    <cellStyle name="Hyperlink" xfId="847" builtinId="8" hidden="1"/>
    <cellStyle name="Hyperlink" xfId="849" builtinId="8" hidden="1"/>
    <cellStyle name="Hyperlink" xfId="851" builtinId="8" hidden="1"/>
    <cellStyle name="Hyperlink" xfId="853" builtinId="8" hidden="1"/>
    <cellStyle name="Hyperlink" xfId="855" builtinId="8" hidden="1"/>
    <cellStyle name="Hyperlink" xfId="857" builtinId="8" hidden="1"/>
    <cellStyle name="Hyperlink" xfId="859" builtinId="8" hidden="1"/>
    <cellStyle name="Hyperlink" xfId="861" builtinId="8" hidden="1"/>
    <cellStyle name="Hyperlink" xfId="863" builtinId="8" hidden="1"/>
    <cellStyle name="Hyperlink" xfId="865" builtinId="8" hidden="1"/>
    <cellStyle name="Hyperlink" xfId="867" builtinId="8" hidden="1"/>
    <cellStyle name="Hyperlink" xfId="869" builtinId="8" hidden="1"/>
    <cellStyle name="Hyperlink" xfId="871" builtinId="8" hidden="1"/>
    <cellStyle name="Hyperlink" xfId="873" builtinId="8" hidden="1"/>
    <cellStyle name="Hyperlink" xfId="875" builtinId="8" hidden="1"/>
    <cellStyle name="Hyperlink" xfId="877" builtinId="8" hidden="1"/>
    <cellStyle name="Hyperlink" xfId="879" builtinId="8" hidden="1"/>
    <cellStyle name="Hyperlink" xfId="881" builtinId="8" hidden="1"/>
    <cellStyle name="Hyperlink" xfId="883" builtinId="8" hidden="1"/>
    <cellStyle name="Hyperlink" xfId="885" builtinId="8" hidden="1"/>
    <cellStyle name="Hyperlink" xfId="887" builtinId="8" hidden="1"/>
    <cellStyle name="Hyperlink" xfId="889" builtinId="8" hidden="1"/>
    <cellStyle name="Hyperlink" xfId="891" builtinId="8" hidden="1"/>
    <cellStyle name="Hyperlink" xfId="893" builtinId="8" hidden="1"/>
    <cellStyle name="Hyperlink" xfId="895" builtinId="8" hidden="1"/>
    <cellStyle name="Hyperlink" xfId="897" builtinId="8" hidden="1"/>
    <cellStyle name="Hyperlink" xfId="899" builtinId="8" hidden="1"/>
    <cellStyle name="Hyperlink" xfId="901" builtinId="8" hidden="1"/>
    <cellStyle name="Hyperlink" xfId="903" builtinId="8" hidden="1"/>
    <cellStyle name="Hyperlink" xfId="905" builtinId="8" hidden="1"/>
    <cellStyle name="Hyperlink" xfId="907" builtinId="8" hidden="1"/>
    <cellStyle name="Hyperlink" xfId="909" builtinId="8" hidden="1"/>
    <cellStyle name="Hyperlink" xfId="911" builtinId="8" hidden="1"/>
    <cellStyle name="Hyperlink" xfId="913" builtinId="8" hidden="1"/>
    <cellStyle name="Hyperlink" xfId="915" builtinId="8" hidden="1"/>
    <cellStyle name="Hyperlink" xfId="917" builtinId="8" hidden="1"/>
    <cellStyle name="Hyperlink" xfId="919" builtinId="8" hidden="1"/>
    <cellStyle name="Hyperlink" xfId="921" builtinId="8" hidden="1"/>
    <cellStyle name="Hyperlink" xfId="923" builtinId="8" hidden="1"/>
    <cellStyle name="Hyperlink" xfId="925" builtinId="8" hidden="1"/>
    <cellStyle name="Hyperlink" xfId="927" builtinId="8" hidden="1"/>
    <cellStyle name="Hyperlink" xfId="929" builtinId="8" hidden="1"/>
    <cellStyle name="Hyperlink" xfId="931" builtinId="8" hidden="1"/>
    <cellStyle name="Hyperlink" xfId="933" builtinId="8" hidden="1"/>
    <cellStyle name="Hyperlink" xfId="935" builtinId="8" hidden="1"/>
    <cellStyle name="Hyperlink" xfId="937" builtinId="8" hidden="1"/>
    <cellStyle name="Hyperlink" xfId="939" builtinId="8" hidden="1"/>
    <cellStyle name="Hyperlink" xfId="941" builtinId="8" hidden="1"/>
    <cellStyle name="Hyperlink" xfId="943" builtinId="8" hidden="1"/>
    <cellStyle name="Hyperlink" xfId="945" builtinId="8" hidden="1"/>
    <cellStyle name="Hyperlink" xfId="947" builtinId="8" hidden="1"/>
    <cellStyle name="Hyperlink" xfId="949" builtinId="8" hidden="1"/>
    <cellStyle name="Hyperlink" xfId="951" builtinId="8" hidden="1"/>
    <cellStyle name="Hyperlink" xfId="953" builtinId="8" hidden="1"/>
    <cellStyle name="Hyperlink" xfId="955" builtinId="8" hidden="1"/>
    <cellStyle name="Hyperlink" xfId="957" builtinId="8" hidden="1"/>
    <cellStyle name="Hyperlink" xfId="959" builtinId="8" hidden="1"/>
    <cellStyle name="Hyperlink" xfId="961" builtinId="8" hidden="1"/>
    <cellStyle name="Hyperlink" xfId="963" builtinId="8" hidden="1"/>
    <cellStyle name="Hyperlink" xfId="965" builtinId="8" hidden="1"/>
    <cellStyle name="Hyperlink" xfId="967" builtinId="8" hidden="1"/>
    <cellStyle name="Hyperlink" xfId="969" builtinId="8" hidden="1"/>
    <cellStyle name="Hyperlink" xfId="971" builtinId="8" hidden="1"/>
    <cellStyle name="Hyperlink" xfId="973" builtinId="8" hidden="1"/>
    <cellStyle name="Hyperlink" xfId="975" builtinId="8" hidden="1"/>
    <cellStyle name="Hyperlink" xfId="977" builtinId="8" hidden="1"/>
    <cellStyle name="Hyperlink" xfId="979" builtinId="8" hidden="1"/>
    <cellStyle name="Hyperlink" xfId="981" builtinId="8" hidden="1"/>
    <cellStyle name="Hyperlink" xfId="983" builtinId="8" hidden="1"/>
    <cellStyle name="Hyperlink" xfId="985" builtinId="8" hidden="1"/>
    <cellStyle name="Hyperlink" xfId="987" builtinId="8" hidden="1"/>
    <cellStyle name="Hyperlink" xfId="989" builtinId="8" hidden="1"/>
    <cellStyle name="Hyperlink" xfId="991" builtinId="8" hidden="1"/>
    <cellStyle name="Hyperlink" xfId="993" builtinId="8" hidden="1"/>
    <cellStyle name="Hyperlink" xfId="995" builtinId="8" hidden="1"/>
    <cellStyle name="Hyperlink" xfId="997" builtinId="8" hidden="1"/>
    <cellStyle name="Hyperlink" xfId="999" builtinId="8" hidden="1"/>
    <cellStyle name="Hyperlink" xfId="1001" builtinId="8" hidden="1"/>
    <cellStyle name="Hyperlink" xfId="1003" builtinId="8" hidden="1"/>
    <cellStyle name="Hyperlink" xfId="1005" builtinId="8" hidden="1"/>
    <cellStyle name="Hyperlink" xfId="1007" builtinId="8" hidden="1"/>
    <cellStyle name="Hyperlink" xfId="1009" builtinId="8" hidden="1"/>
    <cellStyle name="Hyperlink" xfId="1011" builtinId="8" hidden="1"/>
    <cellStyle name="Hyperlink" xfId="1013" builtinId="8" hidden="1"/>
    <cellStyle name="Hyperlink" xfId="1015" builtinId="8" hidden="1"/>
    <cellStyle name="Hyperlink" xfId="1017" builtinId="8" hidden="1"/>
    <cellStyle name="Hyperlink" xfId="1019" builtinId="8" hidden="1"/>
    <cellStyle name="Hyperlink" xfId="1021" builtinId="8" hidden="1"/>
    <cellStyle name="Hyperlink" xfId="1023" builtinId="8" hidden="1"/>
    <cellStyle name="Hyperlink" xfId="1025" builtinId="8" hidden="1"/>
    <cellStyle name="Hyperlink" xfId="1027" builtinId="8" hidden="1"/>
    <cellStyle name="Hyperlink" xfId="1029" builtinId="8" hidden="1"/>
    <cellStyle name="Hyperlink" xfId="1031" builtinId="8" hidden="1"/>
    <cellStyle name="Hyperlink" xfId="1033" builtinId="8" hidden="1"/>
    <cellStyle name="Hyperlink" xfId="1035" builtinId="8" hidden="1"/>
    <cellStyle name="Hyperlink" xfId="1037" builtinId="8" hidden="1"/>
    <cellStyle name="Hyperlink" xfId="1039" builtinId="8" hidden="1"/>
    <cellStyle name="Hyperlink" xfId="1041" builtinId="8" hidden="1"/>
    <cellStyle name="Hyperlink" xfId="1043" builtinId="8" hidden="1"/>
    <cellStyle name="Hyperlink" xfId="1045" builtinId="8" hidden="1"/>
    <cellStyle name="Hyperlink" xfId="1047" builtinId="8" hidden="1"/>
    <cellStyle name="Hyperlink" xfId="1049" builtinId="8" hidden="1"/>
    <cellStyle name="Hyperlink" xfId="1051" builtinId="8" hidden="1"/>
    <cellStyle name="Hyperlink" xfId="1053" builtinId="8" hidden="1"/>
    <cellStyle name="Hyperlink" xfId="1055" builtinId="8" hidden="1"/>
    <cellStyle name="Hyperlink" xfId="1057" builtinId="8" hidden="1"/>
    <cellStyle name="Hyperlink" xfId="1059" builtinId="8" hidden="1"/>
    <cellStyle name="Hyperlink" xfId="1061" builtinId="8" hidden="1"/>
    <cellStyle name="Hyperlink" xfId="1063" builtinId="8" hidden="1"/>
    <cellStyle name="Hyperlink" xfId="1065" builtinId="8" hidden="1"/>
    <cellStyle name="Hyperlink" xfId="1067" builtinId="8" hidden="1"/>
    <cellStyle name="Hyperlink" xfId="1069" builtinId="8" hidden="1"/>
    <cellStyle name="Hyperlink" xfId="1071" builtinId="8" hidden="1"/>
    <cellStyle name="Hyperlink" xfId="1073" builtinId="8" hidden="1"/>
    <cellStyle name="Hyperlink" xfId="1075" builtinId="8" hidden="1"/>
    <cellStyle name="Hyperlink" xfId="1077" builtinId="8" hidden="1"/>
    <cellStyle name="Hyperlink" xfId="1079" builtinId="8" hidden="1"/>
    <cellStyle name="Hyperlink" xfId="1081" builtinId="8" hidden="1"/>
    <cellStyle name="Hyperlink" xfId="1083" builtinId="8" hidden="1"/>
    <cellStyle name="Hyperlink" xfId="1085" builtinId="8" hidden="1"/>
    <cellStyle name="Hyperlink" xfId="1087" builtinId="8" hidden="1"/>
    <cellStyle name="Hyperlink" xfId="1089" builtinId="8" hidden="1"/>
    <cellStyle name="Hyperlink" xfId="1091" builtinId="8" hidden="1"/>
    <cellStyle name="Hyperlink" xfId="1093" builtinId="8" hidden="1"/>
    <cellStyle name="Hyperlink" xfId="1095" builtinId="8" hidden="1"/>
    <cellStyle name="Hyperlink" xfId="1097" builtinId="8" hidden="1"/>
    <cellStyle name="Hyperlink" xfId="1099" builtinId="8" hidden="1"/>
    <cellStyle name="Hyperlink" xfId="1101" builtinId="8" hidden="1"/>
    <cellStyle name="Hyperlink" xfId="1103" builtinId="8" hidden="1"/>
    <cellStyle name="Hyperlink" xfId="1105" builtinId="8" hidden="1"/>
    <cellStyle name="Hyperlink" xfId="1107" builtinId="8" hidden="1"/>
    <cellStyle name="Hyperlink" xfId="1109" builtinId="8" hidden="1"/>
    <cellStyle name="Hyperlink" xfId="1111" builtinId="8" hidden="1"/>
    <cellStyle name="Hyperlink" xfId="1113" builtinId="8" hidden="1"/>
    <cellStyle name="Hyperlink" xfId="1115" builtinId="8" hidden="1"/>
    <cellStyle name="Hyperlink" xfId="1117" builtinId="8" hidden="1"/>
    <cellStyle name="Hyperlink" xfId="1119" builtinId="8" hidden="1"/>
    <cellStyle name="Hyperlink" xfId="1121" builtinId="8" hidden="1"/>
    <cellStyle name="Hyperlink" xfId="1123" builtinId="8" hidden="1"/>
    <cellStyle name="Hyperlink" xfId="1125" builtinId="8" hidden="1"/>
    <cellStyle name="Hyperlink" xfId="1127" builtinId="8" hidden="1"/>
    <cellStyle name="Hyperlink" xfId="1129" builtinId="8" hidden="1"/>
    <cellStyle name="Hyperlink" xfId="1131" builtinId="8" hidden="1"/>
    <cellStyle name="Hyperlink" xfId="1133" builtinId="8" hidden="1"/>
    <cellStyle name="Hyperlink" xfId="1135" builtinId="8" hidden="1"/>
    <cellStyle name="Hyperlink" xfId="1137" builtinId="8" hidden="1"/>
    <cellStyle name="Hyperlink" xfId="1139" builtinId="8" hidden="1"/>
    <cellStyle name="Hyperlink" xfId="1141" builtinId="8" hidden="1"/>
    <cellStyle name="Hyperlink" xfId="1143" builtinId="8" hidden="1"/>
    <cellStyle name="Hyperlink" xfId="1145" builtinId="8" hidden="1"/>
    <cellStyle name="Hyperlink" xfId="1147" builtinId="8" hidden="1"/>
    <cellStyle name="Hyperlink" xfId="1149" builtinId="8" hidden="1"/>
    <cellStyle name="Hyperlink" xfId="1151" builtinId="8" hidden="1"/>
    <cellStyle name="Hyperlink" xfId="1153" builtinId="8" hidden="1"/>
    <cellStyle name="Hyperlink" xfId="1155" builtinId="8" hidden="1"/>
    <cellStyle name="Hyperlink" xfId="1157" builtinId="8" hidden="1"/>
    <cellStyle name="Hyperlink" xfId="1159" builtinId="8" hidden="1"/>
    <cellStyle name="Hyperlink" xfId="1161" builtinId="8" hidden="1"/>
    <cellStyle name="Hyperlink" xfId="1163" builtinId="8" hidden="1"/>
    <cellStyle name="Hyperlink" xfId="1165" builtinId="8" hidden="1"/>
    <cellStyle name="Hyperlink" xfId="1167" builtinId="8" hidden="1"/>
    <cellStyle name="Hyperlink" xfId="1169" builtinId="8" hidden="1"/>
    <cellStyle name="Hyperlink" xfId="1171" builtinId="8" hidden="1"/>
    <cellStyle name="Hyperlink" xfId="1173" builtinId="8" hidden="1"/>
    <cellStyle name="Hyperlink" xfId="1175" builtinId="8" hidden="1"/>
    <cellStyle name="Hyperlink" xfId="1177" builtinId="8" hidden="1"/>
    <cellStyle name="Hyperlink" xfId="1179" builtinId="8" hidden="1"/>
    <cellStyle name="Hyperlink" xfId="1181" builtinId="8" hidden="1"/>
    <cellStyle name="Hyperlink" xfId="1183" builtinId="8" hidden="1"/>
    <cellStyle name="Hyperlink" xfId="1185" builtinId="8" hidden="1"/>
    <cellStyle name="Hyperlink" xfId="1187" builtinId="8" hidden="1"/>
    <cellStyle name="Hyperlink" xfId="1189" builtinId="8" hidden="1"/>
    <cellStyle name="Hyperlink" xfId="1191" builtinId="8" hidden="1"/>
    <cellStyle name="Hyperlink" xfId="1193" builtinId="8" hidden="1"/>
    <cellStyle name="Hyperlink" xfId="1195" builtinId="8" hidden="1"/>
    <cellStyle name="Hyperlink" xfId="1197" builtinId="8" hidden="1"/>
    <cellStyle name="Hyperlink" xfId="1199" builtinId="8" hidden="1"/>
    <cellStyle name="Hyperlink" xfId="1201" builtinId="8" hidden="1"/>
    <cellStyle name="Hyperlink" xfId="1203" builtinId="8" hidden="1"/>
    <cellStyle name="Hyperlink" xfId="1205" builtinId="8" hidden="1"/>
    <cellStyle name="Hyperlink" xfId="1207" builtinId="8" hidden="1"/>
    <cellStyle name="Hyperlink" xfId="1209" builtinId="8" hidden="1"/>
    <cellStyle name="Hyperlink" xfId="1211" builtinId="8" hidden="1"/>
    <cellStyle name="Hyperlink" xfId="1213" builtinId="8" hidden="1"/>
    <cellStyle name="Hyperlink" xfId="1215" builtinId="8" hidden="1"/>
    <cellStyle name="Hyperlink" xfId="1217" builtinId="8" hidden="1"/>
    <cellStyle name="Hyperlink" xfId="1219" builtinId="8" hidden="1"/>
    <cellStyle name="Hyperlink" xfId="1221" builtinId="8" hidden="1"/>
    <cellStyle name="Hyperlink" xfId="1223" builtinId="8" hidden="1"/>
    <cellStyle name="Hyperlink" xfId="1225" builtinId="8" hidden="1"/>
    <cellStyle name="Hyperlink" xfId="1227" builtinId="8" hidden="1"/>
    <cellStyle name="Hyperlink" xfId="1229" builtinId="8" hidden="1"/>
    <cellStyle name="Hyperlink" xfId="1231" builtinId="8" hidden="1"/>
    <cellStyle name="Hyperlink" xfId="1233" builtinId="8" hidden="1"/>
    <cellStyle name="Hyperlink" xfId="1235" builtinId="8" hidden="1"/>
    <cellStyle name="Hyperlink" xfId="1237" builtinId="8" hidden="1"/>
    <cellStyle name="Hyperlink" xfId="1239" builtinId="8" hidden="1"/>
    <cellStyle name="Hyperlink" xfId="1241" builtinId="8" hidden="1"/>
    <cellStyle name="Hyperlink" xfId="1243" builtinId="8" hidden="1"/>
    <cellStyle name="Hyperlink" xfId="1245" builtinId="8" hidden="1"/>
    <cellStyle name="Hyperlink" xfId="1247" builtinId="8" hidden="1"/>
    <cellStyle name="Hyperlink" xfId="1249" builtinId="8" hidden="1"/>
    <cellStyle name="Hyperlink" xfId="1251" builtinId="8" hidden="1"/>
    <cellStyle name="Hyperlink" xfId="1253" builtinId="8" hidden="1"/>
    <cellStyle name="Hyperlink" xfId="1255" builtinId="8" hidden="1"/>
    <cellStyle name="Hyperlink" xfId="1257" builtinId="8" hidden="1"/>
    <cellStyle name="Hyperlink" xfId="1259" builtinId="8" hidden="1"/>
    <cellStyle name="Hyperlink" xfId="1261" builtinId="8" hidden="1"/>
    <cellStyle name="Hyperlink" xfId="1263" builtinId="8" hidden="1"/>
    <cellStyle name="Hyperlink" xfId="1265" builtinId="8" hidden="1"/>
    <cellStyle name="Hyperlink" xfId="1267" builtinId="8" hidden="1"/>
    <cellStyle name="Hyperlink" xfId="1269" builtinId="8" hidden="1"/>
    <cellStyle name="Hyperlink" xfId="1271" builtinId="8" hidden="1"/>
    <cellStyle name="Hyperlink" xfId="1273" builtinId="8" hidden="1"/>
    <cellStyle name="Hyperlink" xfId="1275" builtinId="8" hidden="1"/>
    <cellStyle name="Hyperlink" xfId="1277" builtinId="8" hidden="1"/>
    <cellStyle name="Hyperlink" xfId="1279" builtinId="8" hidden="1"/>
    <cellStyle name="Hyperlink" xfId="1281" builtinId="8" hidden="1"/>
    <cellStyle name="Hyperlink" xfId="1283" builtinId="8" hidden="1"/>
    <cellStyle name="Hyperlink" xfId="1285" builtinId="8" hidden="1"/>
    <cellStyle name="Hyperlink" xfId="1288" builtinId="8" hidden="1"/>
    <cellStyle name="Hyperlink" xfId="1290" builtinId="8" hidden="1"/>
    <cellStyle name="Hyperlink" xfId="1292" builtinId="8" hidden="1"/>
    <cellStyle name="Hyperlink" xfId="1294" builtinId="8" hidden="1"/>
    <cellStyle name="Hyperlink" xfId="1296" builtinId="8" hidden="1"/>
    <cellStyle name="Hyperlink" xfId="1298" builtinId="8" hidden="1"/>
    <cellStyle name="Hyperlink" xfId="1300" builtinId="8" hidden="1"/>
    <cellStyle name="Hyperlink" xfId="1302" builtinId="8" hidden="1"/>
    <cellStyle name="Hyperlink" xfId="1304" builtinId="8" hidden="1"/>
    <cellStyle name="Hyperlink" xfId="1306" builtinId="8" hidden="1"/>
    <cellStyle name="Hyperlink" xfId="1308" builtinId="8" hidden="1"/>
    <cellStyle name="Hyperlink" xfId="1310" builtinId="8" hidden="1"/>
    <cellStyle name="Hyperlink" xfId="1312" builtinId="8" hidden="1"/>
    <cellStyle name="Hyperlink" xfId="1314" builtinId="8" hidden="1"/>
    <cellStyle name="Hyperlink" xfId="1316" builtinId="8" hidden="1"/>
    <cellStyle name="Hyperlink" xfId="1318" builtinId="8" hidden="1"/>
    <cellStyle name="Hyperlink" xfId="1320" builtinId="8" hidden="1"/>
    <cellStyle name="Hyperlink" xfId="1322" builtinId="8" hidden="1"/>
    <cellStyle name="Hyperlink" xfId="1324" builtinId="8" hidden="1"/>
    <cellStyle name="Hyperlink" xfId="1326" builtinId="8" hidden="1"/>
    <cellStyle name="Hyperlink" xfId="1328" builtinId="8" hidden="1"/>
    <cellStyle name="Hyperlink" xfId="1330" builtinId="8" hidden="1"/>
    <cellStyle name="Hyperlink" xfId="1332" builtinId="8" hidden="1"/>
    <cellStyle name="Hyperlink" xfId="1334" builtinId="8" hidden="1"/>
    <cellStyle name="Hyperlink" xfId="1336" builtinId="8" hidden="1"/>
    <cellStyle name="Hyperlink" xfId="1338" builtinId="8" hidden="1"/>
    <cellStyle name="Hyperlink" xfId="1340" builtinId="8" hidden="1"/>
    <cellStyle name="Hyperlink" xfId="1342" builtinId="8" hidden="1"/>
    <cellStyle name="Hyperlink" xfId="1344" builtinId="8" hidden="1"/>
    <cellStyle name="Hyperlink" xfId="1346" builtinId="8" hidden="1"/>
    <cellStyle name="Hyperlink" xfId="1348" builtinId="8" hidden="1"/>
    <cellStyle name="Hyperlink" xfId="1350" builtinId="8" hidden="1"/>
    <cellStyle name="Hyperlink" xfId="1352" builtinId="8" hidden="1"/>
    <cellStyle name="Hyperlink" xfId="1354" builtinId="8" hidden="1"/>
    <cellStyle name="Hyperlink" xfId="1356" builtinId="8" hidden="1"/>
    <cellStyle name="Hyperlink" xfId="1358" builtinId="8" hidden="1"/>
    <cellStyle name="Hyperlink" xfId="1360" builtinId="8" hidden="1"/>
    <cellStyle name="Hyperlink" xfId="1362" builtinId="8" hidden="1"/>
    <cellStyle name="Hyperlink" xfId="1364" builtinId="8" hidden="1"/>
    <cellStyle name="Hyperlink" xfId="1366" builtinId="8" hidden="1"/>
    <cellStyle name="Hyperlink" xfId="1368" builtinId="8" hidden="1"/>
    <cellStyle name="Hyperlink" xfId="1370" builtinId="8" hidden="1"/>
    <cellStyle name="Hyperlink" xfId="1372" builtinId="8" hidden="1"/>
    <cellStyle name="Hyperlink" xfId="1374" builtinId="8" hidden="1"/>
    <cellStyle name="Hyperlink" xfId="1376" builtinId="8" hidden="1"/>
    <cellStyle name="Hyperlink" xfId="1378" builtinId="8" hidden="1"/>
    <cellStyle name="Hyperlink" xfId="1380" builtinId="8" hidden="1"/>
    <cellStyle name="Hyperlink" xfId="1382" builtinId="8" hidden="1"/>
    <cellStyle name="Hyperlink" xfId="1384" builtinId="8" hidden="1"/>
    <cellStyle name="Hyperlink" xfId="1386" builtinId="8" hidden="1"/>
    <cellStyle name="Hyperlink" xfId="1388" builtinId="8" hidden="1"/>
    <cellStyle name="Hyperlink" xfId="1390" builtinId="8" hidden="1"/>
    <cellStyle name="Hyperlink" xfId="1392" builtinId="8" hidden="1"/>
    <cellStyle name="Hyperlink" xfId="1394" builtinId="8" hidden="1"/>
    <cellStyle name="Hyperlink" xfId="1396" builtinId="8" hidden="1"/>
    <cellStyle name="Hyperlink" xfId="1398" builtinId="8" hidden="1"/>
    <cellStyle name="Hyperlink" xfId="1400" builtinId="8" hidden="1"/>
    <cellStyle name="Hyperlink" xfId="1402" builtinId="8" hidden="1"/>
    <cellStyle name="Hyperlink" xfId="1404" builtinId="8" hidden="1"/>
    <cellStyle name="Hyperlink" xfId="1406" builtinId="8" hidden="1"/>
    <cellStyle name="Hyperlink" xfId="1408" builtinId="8" hidden="1"/>
    <cellStyle name="Hyperlink" xfId="1410" builtinId="8" hidden="1"/>
    <cellStyle name="Hyperlink" xfId="1412" builtinId="8" hidden="1"/>
    <cellStyle name="Hyperlink" xfId="1414" builtinId="8" hidden="1"/>
    <cellStyle name="Hyperlink" xfId="1416" builtinId="8" hidden="1"/>
    <cellStyle name="Hyperlink" xfId="1418" builtinId="8" hidden="1"/>
    <cellStyle name="Hyperlink" xfId="1420" builtinId="8" hidden="1"/>
    <cellStyle name="Hyperlink" xfId="1422" builtinId="8" hidden="1"/>
    <cellStyle name="Hyperlink" xfId="1424" builtinId="8" hidden="1"/>
    <cellStyle name="Hyperlink" xfId="1426" builtinId="8" hidden="1"/>
    <cellStyle name="Hyperlink" xfId="1428" builtinId="8" hidden="1"/>
    <cellStyle name="Hyperlink" xfId="1430" builtinId="8" hidden="1"/>
    <cellStyle name="Hyperlink" xfId="1432" builtinId="8" hidden="1"/>
    <cellStyle name="Hyperlink" xfId="1434" builtinId="8" hidden="1"/>
    <cellStyle name="Hyperlink" xfId="1436" builtinId="8" hidden="1"/>
    <cellStyle name="Hyperlink" xfId="1438" builtinId="8" hidden="1"/>
    <cellStyle name="Hyperlink" xfId="1440" builtinId="8" hidden="1"/>
    <cellStyle name="Hyperlink" xfId="1442" builtinId="8" hidden="1"/>
    <cellStyle name="Hyperlink" xfId="1444" builtinId="8" hidden="1"/>
    <cellStyle name="Hyperlink" xfId="1446" builtinId="8" hidden="1"/>
    <cellStyle name="Hyperlink" xfId="1448" builtinId="8" hidden="1"/>
    <cellStyle name="Hyperlink" xfId="1450" builtinId="8" hidden="1"/>
    <cellStyle name="Hyperlink" xfId="1452" builtinId="8" hidden="1"/>
    <cellStyle name="Hyperlink" xfId="1454" builtinId="8" hidden="1"/>
    <cellStyle name="Hyperlink" xfId="1456" builtinId="8" hidden="1"/>
    <cellStyle name="Hyperlink" xfId="1458" builtinId="8" hidden="1"/>
    <cellStyle name="Hyperlink" xfId="1460" builtinId="8" hidden="1"/>
    <cellStyle name="Hyperlink" xfId="1462" builtinId="8" hidden="1"/>
    <cellStyle name="Hyperlink" xfId="1464" builtinId="8" hidden="1"/>
    <cellStyle name="Hyperlink" xfId="1466" builtinId="8" hidden="1"/>
    <cellStyle name="Hyperlink" xfId="1468" builtinId="8" hidden="1"/>
    <cellStyle name="Hyperlink" xfId="1470" builtinId="8" hidden="1"/>
    <cellStyle name="Hyperlink" xfId="1472" builtinId="8" hidden="1"/>
    <cellStyle name="Hyperlink" xfId="1474" builtinId="8" hidden="1"/>
    <cellStyle name="Hyperlink" xfId="1476" builtinId="8" hidden="1"/>
    <cellStyle name="Hyperlink" xfId="1478" builtinId="8" hidden="1"/>
    <cellStyle name="Hyperlink" xfId="1480" builtinId="8" hidden="1"/>
    <cellStyle name="Hyperlink" xfId="1482" builtinId="8" hidden="1"/>
    <cellStyle name="Hyperlink" xfId="1484" builtinId="8" hidden="1"/>
    <cellStyle name="Hyperlink" xfId="1486" builtinId="8" hidden="1"/>
    <cellStyle name="Hyperlink" xfId="1488" builtinId="8" hidden="1"/>
    <cellStyle name="Hyperlink" xfId="1490" builtinId="8" hidden="1"/>
    <cellStyle name="Hyperlink" xfId="1492" builtinId="8" hidden="1"/>
    <cellStyle name="Hyperlink" xfId="1494" builtinId="8" hidden="1"/>
    <cellStyle name="Hyperlink" xfId="1496" builtinId="8" hidden="1"/>
    <cellStyle name="Hyperlink" xfId="1498" builtinId="8" hidden="1"/>
    <cellStyle name="Hyperlink" xfId="1500" builtinId="8" hidden="1"/>
    <cellStyle name="Hyperlink" xfId="1502" builtinId="8" hidden="1"/>
    <cellStyle name="Hyperlink" xfId="1504" builtinId="8" hidden="1"/>
    <cellStyle name="Hyperlink" xfId="1506" builtinId="8" hidden="1"/>
    <cellStyle name="Hyperlink" xfId="1508" builtinId="8" hidden="1"/>
    <cellStyle name="Hyperlink" xfId="1510" builtinId="8" hidden="1"/>
    <cellStyle name="Hyperlink" xfId="1512" builtinId="8" hidden="1"/>
    <cellStyle name="Hyperlink" xfId="1514" builtinId="8" hidden="1"/>
    <cellStyle name="Hyperlink" xfId="1516" builtinId="8" hidden="1"/>
    <cellStyle name="Hyperlink" xfId="1518" builtinId="8" hidden="1"/>
    <cellStyle name="Hyperlink" xfId="1520" builtinId="8" hidden="1"/>
    <cellStyle name="Hyperlink" xfId="1522" builtinId="8" hidden="1"/>
    <cellStyle name="Hyperlink" xfId="1524" builtinId="8" hidden="1"/>
    <cellStyle name="Hyperlink" xfId="1526" builtinId="8" hidden="1"/>
    <cellStyle name="Hyperlink" xfId="1528" builtinId="8" hidden="1"/>
    <cellStyle name="Hyperlink" xfId="1530" builtinId="8" hidden="1"/>
    <cellStyle name="Hyperlink" xfId="1532" builtinId="8" hidden="1"/>
    <cellStyle name="Hyperlink" xfId="1534" builtinId="8" hidden="1"/>
    <cellStyle name="Hyperlink" xfId="1536" builtinId="8" hidden="1"/>
    <cellStyle name="Hyperlink" xfId="1538" builtinId="8" hidden="1"/>
    <cellStyle name="Hyperlink" xfId="1540" builtinId="8" hidden="1"/>
    <cellStyle name="Hyperlink" xfId="1542" builtinId="8" hidden="1"/>
    <cellStyle name="Hyperlink" xfId="1544" builtinId="8" hidden="1"/>
    <cellStyle name="Hyperlink" xfId="1546" builtinId="8" hidden="1"/>
    <cellStyle name="Hyperlink" xfId="1548" builtinId="8" hidden="1"/>
    <cellStyle name="Hyperlink" xfId="1550" builtinId="8" hidden="1"/>
    <cellStyle name="Hyperlink" xfId="1552" builtinId="8" hidden="1"/>
    <cellStyle name="Hyperlink" xfId="1554" builtinId="8" hidden="1"/>
    <cellStyle name="Hyperlink" xfId="1556" builtinId="8" hidden="1"/>
    <cellStyle name="Hyperlink" xfId="1558" builtinId="8" hidden="1"/>
    <cellStyle name="Hyperlink" xfId="1560" builtinId="8" hidden="1"/>
    <cellStyle name="Hyperlink" xfId="1562" builtinId="8" hidden="1"/>
    <cellStyle name="Hyperlink" xfId="1564" builtinId="8" hidden="1"/>
    <cellStyle name="Hyperlink" xfId="1566" builtinId="8" hidden="1"/>
    <cellStyle name="Hyperlink" xfId="1568" builtinId="8" hidden="1"/>
    <cellStyle name="Hyperlink" xfId="1570" builtinId="8" hidden="1"/>
    <cellStyle name="Hyperlink" xfId="1572" builtinId="8" hidden="1"/>
    <cellStyle name="Hyperlink" xfId="1574" builtinId="8" hidden="1"/>
    <cellStyle name="Hyperlink" xfId="1576" builtinId="8" hidden="1"/>
    <cellStyle name="Hyperlink" xfId="1578" builtinId="8" hidden="1"/>
    <cellStyle name="Hyperlink" xfId="1580" builtinId="8" hidden="1"/>
    <cellStyle name="Hyperlink" xfId="1582" builtinId="8" hidden="1"/>
    <cellStyle name="Hyperlink" xfId="1584" builtinId="8" hidden="1"/>
    <cellStyle name="Hyperlink" xfId="1586" builtinId="8" hidden="1"/>
    <cellStyle name="Hyperlink" xfId="1588" builtinId="8" hidden="1"/>
    <cellStyle name="Hyperlink" xfId="1590" builtinId="8" hidden="1"/>
    <cellStyle name="Hyperlink" xfId="1592" builtinId="8" hidden="1"/>
    <cellStyle name="Hyperlink" xfId="1594" builtinId="8" hidden="1"/>
    <cellStyle name="Hyperlink" xfId="1596" builtinId="8" hidden="1"/>
    <cellStyle name="Hyperlink" xfId="1598" builtinId="8" hidden="1"/>
    <cellStyle name="Hyperlink" xfId="1600" builtinId="8" hidden="1"/>
    <cellStyle name="Hyperlink" xfId="1602" builtinId="8" hidden="1"/>
    <cellStyle name="Hyperlink" xfId="1604" builtinId="8" hidden="1"/>
    <cellStyle name="Hyperlink" xfId="1606" builtinId="8" hidden="1"/>
    <cellStyle name="Hyperlink" xfId="1608" builtinId="8" hidden="1"/>
    <cellStyle name="Hyperlink" xfId="1610" builtinId="8" hidden="1"/>
    <cellStyle name="Hyperlink" xfId="1612" builtinId="8" hidden="1"/>
    <cellStyle name="Hyperlink" xfId="1614" builtinId="8" hidden="1"/>
    <cellStyle name="Hyperlink" xfId="1616" builtinId="8" hidden="1"/>
    <cellStyle name="Hyperlink" xfId="1618" builtinId="8" hidden="1"/>
    <cellStyle name="Hyperlink" xfId="1620" builtinId="8" hidden="1"/>
    <cellStyle name="Hyperlink" xfId="1622" builtinId="8" hidden="1"/>
    <cellStyle name="Hyperlink" xfId="1624" builtinId="8" hidden="1"/>
    <cellStyle name="Hyperlink" xfId="1626" builtinId="8" hidden="1"/>
    <cellStyle name="Hyperlink" xfId="1628" builtinId="8" hidden="1"/>
    <cellStyle name="Hyperlink" xfId="1630" builtinId="8" hidden="1"/>
    <cellStyle name="Hyperlink" xfId="1632" builtinId="8" hidden="1"/>
    <cellStyle name="Hyperlink" xfId="1634" builtinId="8" hidden="1"/>
    <cellStyle name="Hyperlink" xfId="1636" builtinId="8" hidden="1"/>
    <cellStyle name="Hyperlink" xfId="1638" builtinId="8" hidden="1"/>
    <cellStyle name="Hyperlink" xfId="1640" builtinId="8" hidden="1"/>
    <cellStyle name="Hyperlink" xfId="1642" builtinId="8" hidden="1"/>
    <cellStyle name="Hyperlink" xfId="1644" builtinId="8" hidden="1"/>
    <cellStyle name="Hyperlink" xfId="1646" builtinId="8" hidden="1"/>
    <cellStyle name="Hyperlink" xfId="1648" builtinId="8" hidden="1"/>
    <cellStyle name="Hyperlink" xfId="1650" builtinId="8" hidden="1"/>
    <cellStyle name="Hyperlink" xfId="1652" builtinId="8" hidden="1"/>
    <cellStyle name="Hyperlink" xfId="1654" builtinId="8" hidden="1"/>
    <cellStyle name="Hyperlink" xfId="1656" builtinId="8" hidden="1"/>
    <cellStyle name="Hyperlink" xfId="1658" builtinId="8" hidden="1"/>
    <cellStyle name="Hyperlink" xfId="1660" builtinId="8" hidden="1"/>
    <cellStyle name="Hyperlink" xfId="1662" builtinId="8" hidden="1"/>
    <cellStyle name="Hyperlink" xfId="1664" builtinId="8" hidden="1"/>
    <cellStyle name="Hyperlink" xfId="1666" builtinId="8" hidden="1"/>
    <cellStyle name="Hyperlink" xfId="1668" builtinId="8" hidden="1"/>
    <cellStyle name="Hyperlink" xfId="1670" builtinId="8" hidden="1"/>
    <cellStyle name="Hyperlink" xfId="1672" builtinId="8" hidden="1"/>
    <cellStyle name="Hyperlink" xfId="1674" builtinId="8" hidden="1"/>
    <cellStyle name="Hyperlink" xfId="1676" builtinId="8" hidden="1"/>
    <cellStyle name="Hyperlink" xfId="1678" builtinId="8" hidden="1"/>
    <cellStyle name="Hyperlink" xfId="1680" builtinId="8" hidden="1"/>
    <cellStyle name="Hyperlink" xfId="1682" builtinId="8" hidden="1"/>
    <cellStyle name="Hyperlink" xfId="1684" builtinId="8" hidden="1"/>
    <cellStyle name="Hyperlink" xfId="1686" builtinId="8" hidden="1"/>
    <cellStyle name="Hyperlink" xfId="1688" builtinId="8" hidden="1"/>
    <cellStyle name="Hyperlink" xfId="1690" builtinId="8" hidden="1"/>
    <cellStyle name="Hyperlink" xfId="1692" builtinId="8" hidden="1"/>
    <cellStyle name="Hyperlink" xfId="1694" builtinId="8" hidden="1"/>
    <cellStyle name="Hyperlink" xfId="1696" builtinId="8" hidden="1"/>
    <cellStyle name="Hyperlink" xfId="1698" builtinId="8" hidden="1"/>
    <cellStyle name="Hyperlink" xfId="1700" builtinId="8" hidden="1"/>
    <cellStyle name="Hyperlink" xfId="1702" builtinId="8" hidden="1"/>
    <cellStyle name="Hyperlink" xfId="1704" builtinId="8" hidden="1"/>
    <cellStyle name="Hyperlink" xfId="1706" builtinId="8" hidden="1"/>
    <cellStyle name="Hyperlink" xfId="1708" builtinId="8" hidden="1"/>
    <cellStyle name="Hyperlink" xfId="1710" builtinId="8" hidden="1"/>
    <cellStyle name="Hyperlink" xfId="1712" builtinId="8" hidden="1"/>
    <cellStyle name="Hyperlink" xfId="1714" builtinId="8" hidden="1"/>
    <cellStyle name="Hyperlink" xfId="1716" builtinId="8" hidden="1"/>
    <cellStyle name="Hyperlink" xfId="1718" builtinId="8" hidden="1"/>
    <cellStyle name="Hyperlink" xfId="1720" builtinId="8" hidden="1"/>
    <cellStyle name="Hyperlink" xfId="1722" builtinId="8" hidden="1"/>
    <cellStyle name="Hyperlink" xfId="1724" builtinId="8" hidden="1"/>
    <cellStyle name="Hyperlink" xfId="1726" builtinId="8" hidden="1"/>
    <cellStyle name="Hyperlink" xfId="1728" builtinId="8" hidden="1"/>
    <cellStyle name="Hyperlink" xfId="1730" builtinId="8" hidden="1"/>
    <cellStyle name="Hyperlink" xfId="1732" builtinId="8" hidden="1"/>
    <cellStyle name="Hyperlink" xfId="1734" builtinId="8" hidden="1"/>
    <cellStyle name="Hyperlink" xfId="1736" builtinId="8" hidden="1"/>
    <cellStyle name="Hyperlink" xfId="1738" builtinId="8" hidden="1"/>
    <cellStyle name="Hyperlink" xfId="1740" builtinId="8" hidden="1"/>
    <cellStyle name="Hyperlink" xfId="1742" builtinId="8" hidden="1"/>
    <cellStyle name="Hyperlink" xfId="1744" builtinId="8" hidden="1"/>
    <cellStyle name="Hyperlink" xfId="1746" builtinId="8" hidden="1"/>
    <cellStyle name="Hyperlink" xfId="1748" builtinId="8" hidden="1"/>
    <cellStyle name="Hyperlink" xfId="1750" builtinId="8" hidden="1"/>
    <cellStyle name="Hyperlink" xfId="1752" builtinId="8" hidden="1"/>
    <cellStyle name="Hyperlink" xfId="1754" builtinId="8" hidden="1"/>
    <cellStyle name="Hyperlink" xfId="1756" builtinId="8" hidden="1"/>
    <cellStyle name="Hyperlink" xfId="1758" builtinId="8" hidden="1"/>
    <cellStyle name="Hyperlink" xfId="1760" builtinId="8" hidden="1"/>
    <cellStyle name="Hyperlink" xfId="1762" builtinId="8" hidden="1"/>
    <cellStyle name="Hyperlink" xfId="1764" builtinId="8" hidden="1"/>
    <cellStyle name="Hyperlink" xfId="1766" builtinId="8" hidden="1"/>
    <cellStyle name="Hyperlink" xfId="1768" builtinId="8" hidden="1"/>
    <cellStyle name="Hyperlink" xfId="1770" builtinId="8" hidden="1"/>
    <cellStyle name="Hyperlink" xfId="1772" builtinId="8" hidden="1"/>
    <cellStyle name="Hyperlink" xfId="1774" builtinId="8" hidden="1"/>
    <cellStyle name="Hyperlink" xfId="1776" builtinId="8" hidden="1"/>
    <cellStyle name="Hyperlink" xfId="1778" builtinId="8" hidden="1"/>
    <cellStyle name="Hyperlink" xfId="1780" builtinId="8" hidden="1"/>
    <cellStyle name="Hyperlink" xfId="1782" builtinId="8" hidden="1"/>
    <cellStyle name="Hyperlink" xfId="1784" builtinId="8" hidden="1"/>
    <cellStyle name="Hyperlink" xfId="1786" builtinId="8" hidden="1"/>
    <cellStyle name="Hyperlink" xfId="1788" builtinId="8" hidden="1"/>
    <cellStyle name="Hyperlink" xfId="1790" builtinId="8" hidden="1"/>
    <cellStyle name="Hyperlink" xfId="1792" builtinId="8" hidden="1"/>
    <cellStyle name="Hyperlink" xfId="1794" builtinId="8" hidden="1"/>
    <cellStyle name="Hyperlink" xfId="1796" builtinId="8" hidden="1"/>
    <cellStyle name="Hyperlink" xfId="1798" builtinId="8" hidden="1"/>
    <cellStyle name="Hyperlink" xfId="1800" builtinId="8" hidden="1"/>
    <cellStyle name="Hyperlink" xfId="1802" builtinId="8" hidden="1"/>
    <cellStyle name="Hyperlink" xfId="1804" builtinId="8" hidden="1"/>
    <cellStyle name="Hyperlink" xfId="1806" builtinId="8" hidden="1"/>
    <cellStyle name="Hyperlink" xfId="1808" builtinId="8" hidden="1"/>
    <cellStyle name="Hyperlink" xfId="1810" builtinId="8" hidden="1"/>
    <cellStyle name="Hyperlink" xfId="1812" builtinId="8" hidden="1"/>
    <cellStyle name="Hyperlink" xfId="1814" builtinId="8" hidden="1"/>
    <cellStyle name="Hyperlink" xfId="1816" builtinId="8" hidden="1"/>
    <cellStyle name="Hyperlink" xfId="1818" builtinId="8" hidden="1"/>
    <cellStyle name="Hyperlink" xfId="1820" builtinId="8" hidden="1"/>
    <cellStyle name="Hyperlink" xfId="1822" builtinId="8" hidden="1"/>
    <cellStyle name="Hyperlink" xfId="1824" builtinId="8" hidden="1"/>
    <cellStyle name="Hyperlink" xfId="1826" builtinId="8" hidden="1"/>
    <cellStyle name="Hyperlink" xfId="1828" builtinId="8" hidden="1"/>
    <cellStyle name="Hyperlink" xfId="1830" builtinId="8" hidden="1"/>
    <cellStyle name="Hyperlink" xfId="1832" builtinId="8" hidden="1"/>
    <cellStyle name="Hyperlink" xfId="1834" builtinId="8" hidden="1"/>
    <cellStyle name="Hyperlink" xfId="1836" builtinId="8" hidden="1"/>
    <cellStyle name="Hyperlink" xfId="1838" builtinId="8" hidden="1"/>
    <cellStyle name="Hyperlink" xfId="1840" builtinId="8" hidden="1"/>
    <cellStyle name="Hyperlink" xfId="1842" builtinId="8" hidden="1"/>
    <cellStyle name="Hyperlink" xfId="1844" builtinId="8" hidden="1"/>
    <cellStyle name="Hyperlink" xfId="1846" builtinId="8" hidden="1"/>
    <cellStyle name="Hyperlink" xfId="1848" builtinId="8" hidden="1"/>
    <cellStyle name="Hyperlink" xfId="1850" builtinId="8" hidden="1"/>
    <cellStyle name="Hyperlink" xfId="1852" builtinId="8" hidden="1"/>
    <cellStyle name="Hyperlink" xfId="1854" builtinId="8" hidden="1"/>
    <cellStyle name="Hyperlink" xfId="1856" builtinId="8" hidden="1"/>
    <cellStyle name="Hyperlink" xfId="1858" builtinId="8" hidden="1"/>
    <cellStyle name="Hyperlink" xfId="1860" builtinId="8" hidden="1"/>
    <cellStyle name="Hyperlink" xfId="1862" builtinId="8" hidden="1"/>
    <cellStyle name="Hyperlink" xfId="1864" builtinId="8" hidden="1"/>
    <cellStyle name="Hyperlink" xfId="1866" builtinId="8" hidden="1"/>
    <cellStyle name="Hyperlink" xfId="1868" builtinId="8" hidden="1"/>
    <cellStyle name="Hyperlink" xfId="1870" builtinId="8" hidden="1"/>
    <cellStyle name="Hyperlink" xfId="1872" builtinId="8" hidden="1"/>
    <cellStyle name="Hyperlink" xfId="1874" builtinId="8" hidden="1"/>
    <cellStyle name="Hyperlink" xfId="1876" builtinId="8" hidden="1"/>
    <cellStyle name="Hyperlink" xfId="1878" builtinId="8" hidden="1"/>
    <cellStyle name="Hyperlink" xfId="1880" builtinId="8" hidden="1"/>
    <cellStyle name="Hyperlink" xfId="1882" builtinId="8" hidden="1"/>
    <cellStyle name="Hyperlink" xfId="1884" builtinId="8" hidden="1"/>
    <cellStyle name="Hyperlink" xfId="1886" builtinId="8" hidden="1"/>
    <cellStyle name="Hyperlink" xfId="1888" builtinId="8" hidden="1"/>
    <cellStyle name="Hyperlink" xfId="1890" builtinId="8" hidden="1"/>
    <cellStyle name="Hyperlink" xfId="1892" builtinId="8" hidden="1"/>
    <cellStyle name="Hyperlink" xfId="1894" builtinId="8" hidden="1"/>
    <cellStyle name="Hyperlink" xfId="1896" builtinId="8" hidden="1"/>
    <cellStyle name="Hyperlink" xfId="1898" builtinId="8" hidden="1"/>
    <cellStyle name="Hyperlink" xfId="1900" builtinId="8" hidden="1"/>
    <cellStyle name="Hyperlink" xfId="1902" builtinId="8" hidden="1"/>
    <cellStyle name="Hyperlink" xfId="1904" builtinId="8" hidden="1"/>
    <cellStyle name="Hyperlink" xfId="1906" builtinId="8" hidden="1"/>
    <cellStyle name="Hyperlink" xfId="1908" builtinId="8" hidden="1"/>
    <cellStyle name="Hyperlink" xfId="1910" builtinId="8" hidden="1"/>
    <cellStyle name="Hyperlink" xfId="1912" builtinId="8" hidden="1"/>
    <cellStyle name="Hyperlink" xfId="1914" builtinId="8" hidden="1"/>
    <cellStyle name="Hyperlink" xfId="1916" builtinId="8" hidden="1"/>
    <cellStyle name="Hyperlink" xfId="1918" builtinId="8" hidden="1"/>
    <cellStyle name="Hyperlink" xfId="1920" builtinId="8" hidden="1"/>
    <cellStyle name="Hyperlink" xfId="1922" builtinId="8" hidden="1"/>
    <cellStyle name="Hyperlink" xfId="1924" builtinId="8" hidden="1"/>
    <cellStyle name="Hyperlink" xfId="1926" builtinId="8" hidden="1"/>
    <cellStyle name="Hyperlink" xfId="1928" builtinId="8" hidden="1"/>
    <cellStyle name="Hyperlink" xfId="1930" builtinId="8" hidden="1"/>
    <cellStyle name="Hyperlink" xfId="1932" builtinId="8" hidden="1"/>
    <cellStyle name="Hyperlink" xfId="1934" builtinId="8" hidden="1"/>
    <cellStyle name="Hyperlink" xfId="1936" builtinId="8" hidden="1"/>
    <cellStyle name="Hyperlink" xfId="1938" builtinId="8" hidden="1"/>
    <cellStyle name="Hyperlink" xfId="1940" builtinId="8" hidden="1"/>
    <cellStyle name="Hyperlink" xfId="1942" builtinId="8" hidden="1"/>
    <cellStyle name="Hyperlink" xfId="1944" builtinId="8" hidden="1"/>
    <cellStyle name="Hyperlink" xfId="1946" builtinId="8" hidden="1"/>
    <cellStyle name="Hyperlink" xfId="1948" builtinId="8" hidden="1"/>
    <cellStyle name="Hyperlink" xfId="1950" builtinId="8" hidden="1"/>
    <cellStyle name="Hyperlink" xfId="1952" builtinId="8" hidden="1"/>
    <cellStyle name="Hyperlink" xfId="1954" builtinId="8" hidden="1"/>
    <cellStyle name="Hyperlink" xfId="1956" builtinId="8" hidden="1"/>
    <cellStyle name="Hyperlink" xfId="1958" builtinId="8" hidden="1"/>
    <cellStyle name="Hyperlink" xfId="1960" builtinId="8" hidden="1"/>
    <cellStyle name="Hyperlink" xfId="1962" builtinId="8" hidden="1"/>
    <cellStyle name="Hyperlink" xfId="1964" builtinId="8" hidden="1"/>
    <cellStyle name="Hyperlink" xfId="1966" builtinId="8" hidden="1"/>
    <cellStyle name="Hyperlink" xfId="1968" builtinId="8" hidden="1"/>
    <cellStyle name="Hyperlink" xfId="1970" builtinId="8" hidden="1"/>
    <cellStyle name="Hyperlink" xfId="1972" builtinId="8" hidden="1"/>
    <cellStyle name="Hyperlink" xfId="1974" builtinId="8" hidden="1"/>
    <cellStyle name="Hyperlink" xfId="1976" builtinId="8" hidden="1"/>
    <cellStyle name="Hyperlink" xfId="1978" builtinId="8" hidden="1"/>
    <cellStyle name="Hyperlink" xfId="1980" builtinId="8" hidden="1"/>
    <cellStyle name="Hyperlink" xfId="1982" builtinId="8" hidden="1"/>
    <cellStyle name="Hyperlink" xfId="1984" builtinId="8" hidden="1"/>
    <cellStyle name="Hyperlink" xfId="1986" builtinId="8" hidden="1"/>
    <cellStyle name="Hyperlink" xfId="1988" builtinId="8" hidden="1"/>
    <cellStyle name="Hyperlink" xfId="1990" builtinId="8" hidden="1"/>
    <cellStyle name="Hyperlink" xfId="1992" builtinId="8" hidden="1"/>
    <cellStyle name="Hyperlink" xfId="1994" builtinId="8" hidden="1"/>
    <cellStyle name="Hyperlink" xfId="1996" builtinId="8" hidden="1"/>
    <cellStyle name="Hyperlink" xfId="1998" builtinId="8" hidden="1"/>
    <cellStyle name="Hyperlink" xfId="2000" builtinId="8" hidden="1"/>
    <cellStyle name="Hyperlink" xfId="2002" builtinId="8" hidden="1"/>
    <cellStyle name="Hyperlink" xfId="2004" builtinId="8" hidden="1"/>
    <cellStyle name="Hyperlink" xfId="2006" builtinId="8" hidden="1"/>
    <cellStyle name="Hyperlink" xfId="2008" builtinId="8" hidden="1"/>
    <cellStyle name="Hyperlink" xfId="2010" builtinId="8" hidden="1"/>
    <cellStyle name="Hyperlink" xfId="2012" builtinId="8" hidden="1"/>
    <cellStyle name="Hyperlink" xfId="2014" builtinId="8" hidden="1"/>
    <cellStyle name="Hyperlink" xfId="2016" builtinId="8" hidden="1"/>
    <cellStyle name="Hyperlink" xfId="2018" builtinId="8" hidden="1"/>
    <cellStyle name="Hyperlink" xfId="2020" builtinId="8" hidden="1"/>
    <cellStyle name="Hyperlink" xfId="2022" builtinId="8" hidden="1"/>
    <cellStyle name="Hyperlink" xfId="2024" builtinId="8" hidden="1"/>
    <cellStyle name="Hyperlink" xfId="2026" builtinId="8" hidden="1"/>
    <cellStyle name="Hyperlink" xfId="2028" builtinId="8" hidden="1"/>
    <cellStyle name="Hyperlink" xfId="2030" builtinId="8" hidden="1"/>
    <cellStyle name="Hyperlink" xfId="2032" builtinId="8" hidden="1"/>
    <cellStyle name="Hyperlink" xfId="2034" builtinId="8" hidden="1"/>
    <cellStyle name="Hyperlink" xfId="2036" builtinId="8" hidden="1"/>
    <cellStyle name="Hyperlink" xfId="2038" builtinId="8" hidden="1"/>
    <cellStyle name="Hyperlink" xfId="2040" builtinId="8" hidden="1"/>
    <cellStyle name="Hyperlink" xfId="2042" builtinId="8" hidden="1"/>
    <cellStyle name="Hyperlink" xfId="2044" builtinId="8" hidden="1"/>
    <cellStyle name="Hyperlink" xfId="2046" builtinId="8" hidden="1"/>
    <cellStyle name="Hyperlink" xfId="2048" builtinId="8" hidden="1"/>
    <cellStyle name="Hyperlink" xfId="2050" builtinId="8" hidden="1"/>
    <cellStyle name="Hyperlink" xfId="2052" builtinId="8" hidden="1"/>
    <cellStyle name="Hyperlink" xfId="2054" builtinId="8" hidden="1"/>
    <cellStyle name="Hyperlink" xfId="2056" builtinId="8" hidden="1"/>
    <cellStyle name="Hyperlink" xfId="2058" builtinId="8" hidden="1"/>
    <cellStyle name="Hyperlink" xfId="2060" builtinId="8" hidden="1"/>
    <cellStyle name="Hyperlink" xfId="2062" builtinId="8" hidden="1"/>
    <cellStyle name="Hyperlink" xfId="2064" builtinId="8" hidden="1"/>
    <cellStyle name="Hyperlink" xfId="2066" builtinId="8" hidden="1"/>
    <cellStyle name="Hyperlink" xfId="2068" builtinId="8" hidden="1"/>
    <cellStyle name="Hyperlink" xfId="2070" builtinId="8" hidden="1"/>
    <cellStyle name="Hyperlink" xfId="2072" builtinId="8" hidden="1"/>
    <cellStyle name="Hyperlink" xfId="2074" builtinId="8" hidden="1"/>
    <cellStyle name="Hyperlink" xfId="2076" builtinId="8" hidden="1"/>
    <cellStyle name="Hyperlink" xfId="2078" builtinId="8" hidden="1"/>
    <cellStyle name="Hyperlink" xfId="2080" builtinId="8" hidden="1"/>
    <cellStyle name="Hyperlink" xfId="2082" builtinId="8" hidden="1"/>
    <cellStyle name="Hyperlink" xfId="2084" builtinId="8" hidden="1"/>
    <cellStyle name="Hyperlink" xfId="2086" builtinId="8" hidden="1"/>
    <cellStyle name="Hyperlink" xfId="2088" builtinId="8" hidden="1"/>
    <cellStyle name="Hyperlink" xfId="2090" builtinId="8" hidden="1"/>
    <cellStyle name="Hyperlink" xfId="2092" builtinId="8" hidden="1"/>
    <cellStyle name="Hyperlink" xfId="2094" builtinId="8" hidden="1"/>
    <cellStyle name="Hyperlink" xfId="2096" builtinId="8" hidden="1"/>
    <cellStyle name="Hyperlink" xfId="2098" builtinId="8" hidden="1"/>
    <cellStyle name="Hyperlink" xfId="2100" builtinId="8" hidden="1"/>
    <cellStyle name="Hyperlink" xfId="2102" builtinId="8" hidden="1"/>
    <cellStyle name="Hyperlink" xfId="2104" builtinId="8" hidden="1"/>
    <cellStyle name="Hyperlink" xfId="2106" builtinId="8" hidden="1"/>
    <cellStyle name="Hyperlink" xfId="2108" builtinId="8" hidden="1"/>
    <cellStyle name="Hyperlink" xfId="2110" builtinId="8" hidden="1"/>
    <cellStyle name="Hyperlink" xfId="2112" builtinId="8" hidden="1"/>
    <cellStyle name="Hyperlink" xfId="2114" builtinId="8" hidden="1"/>
    <cellStyle name="Hyperlink" xfId="2116" builtinId="8" hidden="1"/>
    <cellStyle name="Hyperlink" xfId="2118" builtinId="8" hidden="1"/>
    <cellStyle name="Hyperlink" xfId="2120" builtinId="8" hidden="1"/>
    <cellStyle name="Hyperlink" xfId="2122" builtinId="8" hidden="1"/>
    <cellStyle name="Hyperlink" xfId="2124" builtinId="8" hidden="1"/>
    <cellStyle name="Hyperlink" xfId="2126" builtinId="8" hidden="1"/>
    <cellStyle name="Hyperlink" xfId="2128" builtinId="8" hidden="1"/>
    <cellStyle name="Hyperlink" xfId="2130" builtinId="8" hidden="1"/>
    <cellStyle name="Hyperlink" xfId="2132" builtinId="8" hidden="1"/>
    <cellStyle name="Hyperlink" xfId="2134" builtinId="8" hidden="1"/>
    <cellStyle name="Hyperlink" xfId="2136" builtinId="8" hidden="1"/>
    <cellStyle name="Hyperlink" xfId="2138" builtinId="8" hidden="1"/>
    <cellStyle name="Hyperlink" xfId="2140" builtinId="8" hidden="1"/>
    <cellStyle name="Hyperlink" xfId="2142" builtinId="8" hidden="1"/>
    <cellStyle name="Hyperlink" xfId="2144" builtinId="8" hidden="1"/>
    <cellStyle name="Hyperlink" xfId="2146" builtinId="8" hidden="1"/>
    <cellStyle name="Hyperlink" xfId="2148" builtinId="8" hidden="1"/>
    <cellStyle name="Hyperlink" xfId="2150" builtinId="8" hidden="1"/>
    <cellStyle name="Hyperlink" xfId="2152" builtinId="8" hidden="1"/>
    <cellStyle name="Hyperlink" xfId="2154" builtinId="8" hidden="1"/>
    <cellStyle name="Hyperlink" xfId="2156" builtinId="8" hidden="1"/>
    <cellStyle name="Hyperlink" xfId="2158" builtinId="8" hidden="1"/>
    <cellStyle name="Hyperlink" xfId="2160" builtinId="8" hidden="1"/>
    <cellStyle name="Hyperlink" xfId="2162" builtinId="8" hidden="1"/>
    <cellStyle name="Hyperlink" xfId="2164" builtinId="8" hidden="1"/>
    <cellStyle name="Hyperlink" xfId="2166" builtinId="8" hidden="1"/>
    <cellStyle name="Hyperlink" xfId="2168" builtinId="8" hidden="1"/>
    <cellStyle name="Hyperlink" xfId="2170" builtinId="8" hidden="1"/>
    <cellStyle name="Hyperlink" xfId="2172" builtinId="8" hidden="1"/>
    <cellStyle name="Hyperlink" xfId="2174" builtinId="8" hidden="1"/>
    <cellStyle name="Hyperlink" xfId="2176" builtinId="8" hidden="1"/>
    <cellStyle name="Hyperlink" xfId="2178" builtinId="8" hidden="1"/>
    <cellStyle name="Hyperlink" xfId="2180" builtinId="8" hidden="1"/>
    <cellStyle name="Hyperlink" xfId="2182" builtinId="8" hidden="1"/>
    <cellStyle name="Hyperlink" xfId="2184" builtinId="8" hidden="1"/>
    <cellStyle name="Hyperlink" xfId="2186" builtinId="8" hidden="1"/>
    <cellStyle name="Hyperlink" xfId="2188" builtinId="8" hidden="1"/>
    <cellStyle name="Hyperlink" xfId="2190" builtinId="8" hidden="1"/>
    <cellStyle name="Hyperlink" xfId="2192" builtinId="8" hidden="1"/>
    <cellStyle name="Hyperlink" xfId="2194" builtinId="8" hidden="1"/>
    <cellStyle name="Hyperlink" xfId="2196" builtinId="8" hidden="1"/>
    <cellStyle name="Hyperlink" xfId="2198" builtinId="8" hidden="1"/>
    <cellStyle name="Hyperlink" xfId="2200" builtinId="8" hidden="1"/>
    <cellStyle name="Hyperlink" xfId="2202" builtinId="8" hidden="1"/>
    <cellStyle name="Hyperlink" xfId="2204" builtinId="8" hidden="1"/>
    <cellStyle name="Hyperlink" xfId="2206" builtinId="8" hidden="1"/>
    <cellStyle name="Hyperlink" xfId="2208" builtinId="8" hidden="1"/>
    <cellStyle name="Hyperlink" xfId="2210" builtinId="8" hidden="1"/>
    <cellStyle name="Hyperlink" xfId="2212" builtinId="8" hidden="1"/>
    <cellStyle name="Hyperlink" xfId="2214" builtinId="8" hidden="1"/>
    <cellStyle name="Hyperlink" xfId="2216" builtinId="8" hidden="1"/>
    <cellStyle name="Hyperlink" xfId="2218" builtinId="8" hidden="1"/>
    <cellStyle name="Hyperlink" xfId="2220" builtinId="8" hidden="1"/>
    <cellStyle name="Hyperlink" xfId="2222" builtinId="8" hidden="1"/>
    <cellStyle name="Hyperlink" xfId="2224" builtinId="8" hidden="1"/>
    <cellStyle name="Hyperlink" xfId="2226" builtinId="8" hidden="1"/>
    <cellStyle name="Hyperlink" xfId="2228" builtinId="8" hidden="1"/>
    <cellStyle name="Hyperlink" xfId="2230" builtinId="8" hidden="1"/>
    <cellStyle name="Hyperlink" xfId="2232" builtinId="8" hidden="1"/>
    <cellStyle name="Hyperlink" xfId="2234" builtinId="8" hidden="1"/>
    <cellStyle name="Hyperlink" xfId="2236" builtinId="8" hidden="1"/>
    <cellStyle name="Hyperlink" xfId="2238" builtinId="8" hidden="1"/>
    <cellStyle name="Hyperlink" xfId="2240" builtinId="8" hidden="1"/>
    <cellStyle name="Hyperlink" xfId="2242" builtinId="8" hidden="1"/>
    <cellStyle name="Hyperlink" xfId="2244" builtinId="8" hidden="1"/>
    <cellStyle name="Hyperlink" xfId="2246" builtinId="8" hidden="1"/>
    <cellStyle name="Hyperlink" xfId="2248" builtinId="8" hidden="1"/>
    <cellStyle name="Hyperlink" xfId="2250" builtinId="8" hidden="1"/>
    <cellStyle name="Hyperlink" xfId="2252" builtinId="8" hidden="1"/>
    <cellStyle name="Hyperlink" xfId="2254" builtinId="8" hidden="1"/>
    <cellStyle name="Hyperlink" xfId="2256" builtinId="8" hidden="1"/>
    <cellStyle name="Hyperlink" xfId="2258" builtinId="8" hidden="1"/>
    <cellStyle name="Hyperlink" xfId="2260" builtinId="8" hidden="1"/>
    <cellStyle name="Hyperlink" xfId="2262" builtinId="8" hidden="1"/>
    <cellStyle name="Hyperlink" xfId="2264" builtinId="8" hidden="1"/>
    <cellStyle name="Hyperlink" xfId="2266" builtinId="8" hidden="1"/>
    <cellStyle name="Hyperlink" xfId="2268" builtinId="8" hidden="1"/>
    <cellStyle name="Hyperlink" xfId="2270" builtinId="8" hidden="1"/>
    <cellStyle name="Hyperlink" xfId="2272" builtinId="8" hidden="1"/>
    <cellStyle name="Hyperlink" xfId="2274" builtinId="8" hidden="1"/>
    <cellStyle name="Hyperlink" xfId="2276" builtinId="8" hidden="1"/>
    <cellStyle name="Hyperlink" xfId="2278" builtinId="8" hidden="1"/>
    <cellStyle name="Hyperlink" xfId="2280" builtinId="8" hidden="1"/>
    <cellStyle name="Hyperlink" xfId="2282" builtinId="8" hidden="1"/>
    <cellStyle name="Hyperlink" xfId="2284" builtinId="8" hidden="1"/>
    <cellStyle name="Hyperlink" xfId="2286" builtinId="8" hidden="1"/>
    <cellStyle name="Hyperlink" xfId="2288" builtinId="8" hidden="1"/>
    <cellStyle name="Hyperlink" xfId="2290" builtinId="8" hidden="1"/>
    <cellStyle name="Hyperlink" xfId="2292" builtinId="8" hidden="1"/>
    <cellStyle name="Hyperlink" xfId="2294" builtinId="8" hidden="1"/>
    <cellStyle name="Hyperlink" xfId="2296" builtinId="8" hidden="1"/>
    <cellStyle name="Hyperlink" xfId="2298" builtinId="8" hidden="1"/>
    <cellStyle name="Hyperlink" xfId="2300" builtinId="8" hidden="1"/>
    <cellStyle name="Hyperlink" xfId="2302" builtinId="8" hidden="1"/>
    <cellStyle name="Hyperlink" xfId="2304" builtinId="8" hidden="1"/>
    <cellStyle name="Hyperlink" xfId="2306" builtinId="8" hidden="1"/>
    <cellStyle name="Hyperlink" xfId="2308" builtinId="8" hidden="1"/>
    <cellStyle name="Hyperlink" xfId="2310" builtinId="8" hidden="1"/>
    <cellStyle name="Hyperlink" xfId="2312" builtinId="8" hidden="1"/>
    <cellStyle name="Hyperlink" xfId="2314" builtinId="8" hidden="1"/>
    <cellStyle name="Hyperlink" xfId="2316" builtinId="8" hidden="1"/>
    <cellStyle name="Hyperlink" xfId="2318" builtinId="8" hidden="1"/>
    <cellStyle name="Hyperlink" xfId="2320" builtinId="8" hidden="1"/>
    <cellStyle name="Hyperlink" xfId="2322" builtinId="8" hidden="1"/>
    <cellStyle name="Hyperlink" xfId="2324" builtinId="8" hidden="1"/>
    <cellStyle name="Hyperlink" xfId="2326" builtinId="8" hidden="1"/>
    <cellStyle name="Hyperlink" xfId="2328" builtinId="8" hidden="1"/>
    <cellStyle name="Hyperlink" xfId="2330" builtinId="8" hidden="1"/>
    <cellStyle name="Hyperlink" xfId="2332" builtinId="8" hidden="1"/>
    <cellStyle name="Hyperlink" xfId="2334" builtinId="8" hidden="1"/>
    <cellStyle name="Hyperlink" xfId="2336" builtinId="8" hidden="1"/>
    <cellStyle name="Hyperlink" xfId="2338" builtinId="8" hidden="1"/>
    <cellStyle name="Hyperlink" xfId="2341" builtinId="8" hidden="1"/>
    <cellStyle name="Hyperlink" xfId="2343" builtinId="8" hidden="1"/>
    <cellStyle name="Hyperlink" xfId="2345" builtinId="8" hidden="1"/>
    <cellStyle name="Hyperlink" xfId="2347" builtinId="8" hidden="1"/>
    <cellStyle name="Hyperlink" xfId="2349" builtinId="8" hidden="1"/>
    <cellStyle name="Hyperlink" xfId="2351" builtinId="8" hidden="1"/>
    <cellStyle name="Hyperlink" xfId="2353" builtinId="8" hidden="1"/>
    <cellStyle name="Hyperlink" xfId="2355" builtinId="8" hidden="1"/>
    <cellStyle name="Hyperlink" xfId="2357" builtinId="8" hidden="1"/>
    <cellStyle name="Hyperlink" xfId="2359" builtinId="8" hidden="1"/>
    <cellStyle name="Hyperlink" xfId="2361" builtinId="8" hidden="1"/>
    <cellStyle name="Hyperlink" xfId="2363" builtinId="8" hidden="1"/>
    <cellStyle name="Hyperlink" xfId="2365" builtinId="8" hidden="1"/>
    <cellStyle name="Hyperlink" xfId="2367" builtinId="8" hidden="1"/>
    <cellStyle name="Hyperlink" xfId="2369" builtinId="8" hidden="1"/>
    <cellStyle name="Hyperlink" xfId="2371" builtinId="8" hidden="1"/>
    <cellStyle name="Hyperlink" xfId="2373" builtinId="8" hidden="1"/>
    <cellStyle name="Hyperlink" xfId="2375" builtinId="8" hidden="1"/>
    <cellStyle name="Hyperlink" xfId="2377" builtinId="8" hidden="1"/>
    <cellStyle name="Hyperlink" xfId="2379" builtinId="8" hidden="1"/>
    <cellStyle name="Hyperlink" xfId="2381" builtinId="8" hidden="1"/>
    <cellStyle name="Hyperlink" xfId="2383" builtinId="8" hidden="1"/>
    <cellStyle name="Hyperlink" xfId="2385" builtinId="8" hidden="1"/>
    <cellStyle name="Hyperlink" xfId="2387" builtinId="8" hidden="1"/>
    <cellStyle name="Hyperlink" xfId="2389" builtinId="8" hidden="1"/>
    <cellStyle name="Hyperlink" xfId="2391" builtinId="8" hidden="1"/>
    <cellStyle name="Hyperlink" xfId="2393" builtinId="8" hidden="1"/>
    <cellStyle name="Hyperlink" xfId="2395" builtinId="8" hidden="1"/>
    <cellStyle name="Hyperlink" xfId="2397" builtinId="8" hidden="1"/>
    <cellStyle name="Hyperlink" xfId="2399" builtinId="8" hidden="1"/>
    <cellStyle name="Hyperlink" xfId="2401" builtinId="8" hidden="1"/>
    <cellStyle name="Hyperlink" xfId="2403" builtinId="8" hidden="1"/>
    <cellStyle name="Hyperlink" xfId="2405" builtinId="8" hidden="1"/>
    <cellStyle name="Hyperlink" xfId="2407" builtinId="8" hidden="1"/>
    <cellStyle name="Hyperlink" xfId="2409" builtinId="8" hidden="1"/>
    <cellStyle name="Hyperlink" xfId="2411" builtinId="8" hidden="1"/>
    <cellStyle name="Hyperlink" xfId="2413" builtinId="8" hidden="1"/>
    <cellStyle name="Hyperlink" xfId="2415" builtinId="8" hidden="1"/>
    <cellStyle name="Hyperlink" xfId="2417" builtinId="8" hidden="1"/>
    <cellStyle name="Hyperlink" xfId="2419" builtinId="8" hidden="1"/>
    <cellStyle name="Hyperlink" xfId="2421" builtinId="8" hidden="1"/>
    <cellStyle name="Hyperlink" xfId="2423" builtinId="8" hidden="1"/>
    <cellStyle name="Hyperlink" xfId="2425" builtinId="8" hidden="1"/>
    <cellStyle name="Hyperlink" xfId="2427" builtinId="8" hidden="1"/>
    <cellStyle name="Hyperlink" xfId="2429" builtinId="8" hidden="1"/>
    <cellStyle name="Hyperlink" xfId="2431" builtinId="8" hidden="1"/>
    <cellStyle name="Hyperlink" xfId="2433" builtinId="8" hidden="1"/>
    <cellStyle name="Hyperlink" xfId="2435" builtinId="8" hidden="1"/>
    <cellStyle name="Hyperlink" xfId="2437" builtinId="8" hidden="1"/>
    <cellStyle name="Hyperlink" xfId="2439" builtinId="8" hidden="1"/>
    <cellStyle name="Hyperlink" xfId="2441" builtinId="8" hidden="1"/>
    <cellStyle name="Hyperlink" xfId="2443" builtinId="8" hidden="1"/>
    <cellStyle name="Hyperlink" xfId="2445" builtinId="8" hidden="1"/>
    <cellStyle name="Hyperlink" xfId="2447" builtinId="8" hidden="1"/>
    <cellStyle name="Hyperlink" xfId="2449" builtinId="8" hidden="1"/>
    <cellStyle name="Hyperlink" xfId="2451" builtinId="8" hidden="1"/>
    <cellStyle name="Hyperlink" xfId="2453" builtinId="8" hidden="1"/>
    <cellStyle name="Hyperlink" xfId="2455" builtinId="8" hidden="1"/>
    <cellStyle name="Hyperlink" xfId="2457" builtinId="8" hidden="1"/>
    <cellStyle name="Hyperlink" xfId="2459" builtinId="8" hidden="1"/>
    <cellStyle name="Hyperlink" xfId="2461" builtinId="8" hidden="1"/>
    <cellStyle name="Hyperlink" xfId="2463" builtinId="8" hidden="1"/>
    <cellStyle name="Hyperlink" xfId="2465" builtinId="8" hidden="1"/>
    <cellStyle name="Hyperlink" xfId="2467" builtinId="8" hidden="1"/>
    <cellStyle name="Hyperlink" xfId="2469" builtinId="8" hidden="1"/>
    <cellStyle name="Hyperlink" xfId="2471" builtinId="8" hidden="1"/>
    <cellStyle name="Hyperlink" xfId="2473" builtinId="8" hidden="1"/>
    <cellStyle name="Hyperlink" xfId="2475" builtinId="8" hidden="1"/>
    <cellStyle name="Hyperlink" xfId="2477" builtinId="8" hidden="1"/>
    <cellStyle name="Hyperlink" xfId="2479" builtinId="8" hidden="1"/>
    <cellStyle name="Hyperlink" xfId="2481" builtinId="8" hidden="1"/>
    <cellStyle name="Hyperlink" xfId="2483" builtinId="8" hidden="1"/>
    <cellStyle name="Hyperlink" xfId="2485" builtinId="8" hidden="1"/>
    <cellStyle name="Hyperlink" xfId="2487" builtinId="8" hidden="1"/>
    <cellStyle name="Hyperlink" xfId="2489" builtinId="8" hidden="1"/>
    <cellStyle name="Hyperlink" xfId="2491" builtinId="8" hidden="1"/>
    <cellStyle name="Hyperlink" xfId="2493" builtinId="8" hidden="1"/>
    <cellStyle name="Hyperlink" xfId="2495" builtinId="8" hidden="1"/>
    <cellStyle name="Hyperlink" xfId="2497" builtinId="8" hidden="1"/>
    <cellStyle name="Hyperlink" xfId="2499" builtinId="8" hidden="1"/>
    <cellStyle name="Hyperlink" xfId="2501" builtinId="8" hidden="1"/>
    <cellStyle name="Hyperlink" xfId="2503" builtinId="8" hidden="1"/>
    <cellStyle name="Hyperlink" xfId="2505" builtinId="8" hidden="1"/>
    <cellStyle name="Hyperlink" xfId="2507" builtinId="8" hidden="1"/>
    <cellStyle name="Hyperlink" xfId="2509" builtinId="8" hidden="1"/>
    <cellStyle name="Hyperlink" xfId="2511" builtinId="8" hidden="1"/>
    <cellStyle name="Hyperlink" xfId="2513" builtinId="8" hidden="1"/>
    <cellStyle name="Hyperlink" xfId="2515" builtinId="8" hidden="1"/>
    <cellStyle name="Hyperlink" xfId="2517" builtinId="8" hidden="1"/>
    <cellStyle name="Hyperlink" xfId="2519" builtinId="8" hidden="1"/>
    <cellStyle name="Hyperlink" xfId="2521" builtinId="8" hidden="1"/>
    <cellStyle name="Hyperlink" xfId="2523" builtinId="8" hidden="1"/>
    <cellStyle name="Hyperlink" xfId="2525" builtinId="8" hidden="1"/>
    <cellStyle name="Hyperlink" xfId="2527" builtinId="8" hidden="1"/>
    <cellStyle name="Hyperlink" xfId="2529" builtinId="8" hidden="1"/>
    <cellStyle name="Hyperlink" xfId="2531" builtinId="8" hidden="1"/>
    <cellStyle name="Hyperlink" xfId="2533" builtinId="8" hidden="1"/>
    <cellStyle name="Hyperlink" xfId="2535" builtinId="8" hidden="1"/>
    <cellStyle name="Hyperlink" xfId="2537" builtinId="8" hidden="1"/>
    <cellStyle name="Hyperlink" xfId="2539" builtinId="8" hidden="1"/>
    <cellStyle name="Hyperlink" xfId="2541" builtinId="8" hidden="1"/>
    <cellStyle name="Hyperlink" xfId="2543" builtinId="8" hidden="1"/>
    <cellStyle name="Hyperlink" xfId="2545" builtinId="8" hidden="1"/>
    <cellStyle name="Hyperlink" xfId="2547" builtinId="8" hidden="1"/>
    <cellStyle name="Hyperlink" xfId="2549" builtinId="8" hidden="1"/>
    <cellStyle name="Hyperlink" xfId="2551" builtinId="8" hidden="1"/>
    <cellStyle name="Hyperlink" xfId="2553" builtinId="8" hidden="1"/>
    <cellStyle name="Hyperlink" xfId="2555" builtinId="8"/>
    <cellStyle name="Local import" xfId="1287"/>
    <cellStyle name="Normal" xfId="0" builtinId="0"/>
    <cellStyle name="Normal 119" xfId="2340"/>
    <cellStyle name="Normal 2" xfId="843"/>
    <cellStyle name="Percent" xfId="444" builtinId="5"/>
    <cellStyle name="Percent 2" xfId="844"/>
  </cellStyles>
  <dxfs count="2">
    <dxf>
      <font>
        <strike val="0"/>
        <color rgb="FF000090"/>
      </font>
      <fill>
        <patternFill patternType="darkGrid">
          <fgColor theme="0"/>
          <bgColor rgb="FFFF6600"/>
        </patternFill>
      </fill>
    </dxf>
    <dxf>
      <font>
        <color theme="0"/>
      </font>
      <fill>
        <patternFill patternType="solid">
          <fgColor indexed="64"/>
          <bgColor rgb="FFFF0000"/>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externalLinks/_rels/externalLink1.xml.rels><?xml version="1.0" encoding="UTF-8" standalone="yes"?>
<Relationships xmlns="http://schemas.openxmlformats.org/package/2006/relationships"><Relationship Id="rId1" Type="http://schemas.openxmlformats.org/officeDocument/2006/relationships/externalLinkPath" Target="Industry%20Panel%20Pricing%20Model%20-%20Public%20Version%20-%205%20May%202015.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1. Introduction and Index"/>
      <sheetName val="2. Notes and Assumptions"/>
      <sheetName val="3. General Model Inputs"/>
      <sheetName val="4. Cardno CapEx Reduction"/>
      <sheetName val="5. Demand Forecast Input"/>
      <sheetName val="6. Prior Year Price Adjustment"/>
      <sheetName val="7. Uriarra CSO Calculation"/>
      <sheetName val="8. Discovery Trail CSO Calc."/>
      <sheetName val="9.Gas Abatement CSO Calculation"/>
      <sheetName val="10. Existing Water Assets Input"/>
      <sheetName val="11. Water - CapEx Input"/>
      <sheetName val="12. Water - Existing Assets RAB"/>
      <sheetName val="13. Water - Capex RAB"/>
      <sheetName val="14.Water-Existing Assets Tax BV"/>
      <sheetName val="15. Water - Capex Tax BV"/>
      <sheetName val="16 . Water - MAR"/>
      <sheetName val="17. Water - Price Setting"/>
      <sheetName val="18. Sewer-Existing Assets Input"/>
      <sheetName val="19. Sewer - Capex Input"/>
      <sheetName val="20. Sewer - Existing Assets RAB"/>
      <sheetName val="21. Sewer - Capex RAB"/>
      <sheetName val="22.Sewer-Existing Assets Tax BV"/>
      <sheetName val="23. Sewer - Capex Tax BV"/>
      <sheetName val="24. Sewer - MAR"/>
      <sheetName val="25. Sewer - Price Setting"/>
      <sheetName val="26. Financeability Tests Case 1"/>
      <sheetName val="27. Financeability Tests Case 2"/>
      <sheetName val="28. Bill Impacts - Case 1"/>
      <sheetName val="29. Bill Impacts - Case 2"/>
    </sheetNames>
    <sheetDataSet>
      <sheetData sheetId="0" refreshError="1"/>
      <sheetData sheetId="1" refreshError="1"/>
      <sheetData sheetId="2" refreshError="1"/>
      <sheetData sheetId="3" refreshError="1"/>
      <sheetData sheetId="4" refreshError="1"/>
      <sheetData sheetId="5" refreshError="1"/>
      <sheetData sheetId="6">
        <row r="49">
          <cell r="G49">
            <v>-589327.24679831532</v>
          </cell>
          <cell r="H49">
            <v>-595896.09000262315</v>
          </cell>
          <cell r="I49">
            <v>-602484.35203355632</v>
          </cell>
          <cell r="J49">
            <v>-609088.8983055345</v>
          </cell>
          <cell r="K49">
            <v>-615706.42536684044</v>
          </cell>
        </row>
        <row r="81">
          <cell r="G81">
            <v>-589868.19757551036</v>
          </cell>
          <cell r="H81">
            <v>-596374.29954924807</v>
          </cell>
          <cell r="I81">
            <v>-602112.37487291952</v>
          </cell>
          <cell r="J81">
            <v>-608707.62171588175</v>
          </cell>
          <cell r="K81">
            <v>-615315.61686244642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iconwater.com.au/My-Home/My-account/Pricing-and-your-Customer-Contract/Water-and-sewerage-FAQs.aspx" TargetMode="External"/><Relationship Id="rId7" Type="http://schemas.openxmlformats.org/officeDocument/2006/relationships/vmlDrawing" Target="../drawings/vmlDrawing1.vml"/><Relationship Id="rId2" Type="http://schemas.openxmlformats.org/officeDocument/2006/relationships/hyperlink" Target="http://www.icrc.act.gov.au/wp-content/uploads/2013/02/Att2_Pricing_model_2013-19.xlsm" TargetMode="External"/><Relationship Id="rId1" Type="http://schemas.openxmlformats.org/officeDocument/2006/relationships/hyperlink" Target="http://www.icrc.act.gov.au/wp-content/uploads/2013/02/Att2_Pricing_model_2013-19.xlsm" TargetMode="External"/><Relationship Id="rId6" Type="http://schemas.openxmlformats.org/officeDocument/2006/relationships/printerSettings" Target="../printerSettings/printerSettings2.bin"/><Relationship Id="rId5" Type="http://schemas.openxmlformats.org/officeDocument/2006/relationships/hyperlink" Target="http://www.icrc.act.gov.au/wp-content/uploads/2013/02/Att2_Pricing_model_2013-19.xlsm" TargetMode="External"/><Relationship Id="rId4" Type="http://schemas.openxmlformats.org/officeDocument/2006/relationships/hyperlink" Target="https://www.iconwater.com.au/~/media/Files/Icon%20Water/Customer%20price%20contracts/2014%20ACT%20Water%20and%20Sewerage%20Schedule%20of%20Charges.ashx" TargetMode="External"/><Relationship Id="rId9"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17.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25.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sheetPr codeName="Sheet13"/>
  <dimension ref="A1:C47"/>
  <sheetViews>
    <sheetView tabSelected="1" workbookViewId="0">
      <selection activeCell="A2" sqref="A2"/>
    </sheetView>
  </sheetViews>
  <sheetFormatPr defaultRowHeight="15"/>
  <cols>
    <col min="1" max="1" width="31.6640625" style="2" customWidth="1"/>
    <col min="2" max="2" width="54.6640625" style="2" customWidth="1"/>
    <col min="3" max="3" width="177.77734375" style="2" customWidth="1"/>
    <col min="4" max="4" width="179.77734375" style="2" customWidth="1"/>
    <col min="5" max="5" width="78.77734375" style="2" customWidth="1"/>
    <col min="6" max="16384" width="8.88671875" style="2"/>
  </cols>
  <sheetData>
    <row r="1" spans="1:3" ht="15.75" customHeight="1">
      <c r="A1" s="1" t="s">
        <v>389</v>
      </c>
    </row>
    <row r="2" spans="1:3" ht="15" customHeight="1">
      <c r="A2" s="3" t="str">
        <f ca="1">MID(CELL("filename",A1),FIND("]",CELL("filename",A1))+1,LEN(CELL("filename",A1))-FIND("]",CELL("filename",A1)))</f>
        <v>1. Introduction and Index</v>
      </c>
    </row>
    <row r="3" spans="1:3" ht="15" customHeight="1">
      <c r="A3" s="190" t="s">
        <v>394</v>
      </c>
    </row>
    <row r="4" spans="1:3">
      <c r="A4" s="2" t="s">
        <v>390</v>
      </c>
    </row>
    <row r="5" spans="1:3">
      <c r="A5" s="2" t="s">
        <v>468</v>
      </c>
    </row>
    <row r="6" spans="1:3" ht="15.75">
      <c r="A6" s="10" t="s">
        <v>482</v>
      </c>
    </row>
    <row r="7" spans="1:3">
      <c r="A7" s="2" t="s">
        <v>486</v>
      </c>
    </row>
    <row r="8" spans="1:3" ht="15.75">
      <c r="A8" s="10" t="s">
        <v>487</v>
      </c>
    </row>
    <row r="9" spans="1:3">
      <c r="A9" s="2" t="s">
        <v>488</v>
      </c>
    </row>
    <row r="10" spans="1:3" ht="15.75">
      <c r="A10" s="151" t="s">
        <v>484</v>
      </c>
    </row>
    <row r="11" spans="1:3">
      <c r="A11" s="194" t="s">
        <v>391</v>
      </c>
      <c r="B11" s="4" t="s">
        <v>392</v>
      </c>
      <c r="C11" s="4" t="s">
        <v>393</v>
      </c>
    </row>
    <row r="12" spans="1:3">
      <c r="A12" s="152">
        <v>1</v>
      </c>
      <c r="B12" s="2" t="s">
        <v>483</v>
      </c>
      <c r="C12" s="2" t="s">
        <v>395</v>
      </c>
    </row>
    <row r="13" spans="1:3">
      <c r="A13" s="152">
        <v>2</v>
      </c>
      <c r="B13" s="2" t="s">
        <v>396</v>
      </c>
      <c r="C13" s="2" t="s">
        <v>478</v>
      </c>
    </row>
    <row r="14" spans="1:3">
      <c r="A14" s="152">
        <v>3</v>
      </c>
      <c r="B14" s="2" t="s">
        <v>397</v>
      </c>
      <c r="C14" s="2" t="s">
        <v>398</v>
      </c>
    </row>
    <row r="15" spans="1:3">
      <c r="A15" s="152">
        <v>4</v>
      </c>
      <c r="B15" s="2" t="s">
        <v>399</v>
      </c>
      <c r="C15" s="2" t="s">
        <v>400</v>
      </c>
    </row>
    <row r="16" spans="1:3">
      <c r="A16" s="152">
        <v>5</v>
      </c>
      <c r="B16" s="2" t="s">
        <v>401</v>
      </c>
      <c r="C16" s="2" t="s">
        <v>402</v>
      </c>
    </row>
    <row r="17" spans="1:3">
      <c r="A17" s="152">
        <v>6</v>
      </c>
      <c r="B17" s="2" t="s">
        <v>403</v>
      </c>
      <c r="C17" s="2" t="s">
        <v>404</v>
      </c>
    </row>
    <row r="18" spans="1:3">
      <c r="A18" s="152">
        <v>7</v>
      </c>
      <c r="B18" s="2" t="s">
        <v>405</v>
      </c>
      <c r="C18" s="2" t="s">
        <v>406</v>
      </c>
    </row>
    <row r="19" spans="1:3">
      <c r="A19" s="152">
        <v>8</v>
      </c>
      <c r="B19" s="2" t="s">
        <v>407</v>
      </c>
      <c r="C19" s="2" t="s">
        <v>408</v>
      </c>
    </row>
    <row r="20" spans="1:3">
      <c r="A20" s="152">
        <v>9</v>
      </c>
      <c r="B20" s="2" t="s">
        <v>409</v>
      </c>
      <c r="C20" s="2" t="s">
        <v>410</v>
      </c>
    </row>
    <row r="21" spans="1:3">
      <c r="A21" s="152">
        <v>10</v>
      </c>
      <c r="B21" s="2" t="s">
        <v>449</v>
      </c>
      <c r="C21" s="2" t="s">
        <v>411</v>
      </c>
    </row>
    <row r="22" spans="1:3">
      <c r="A22" s="152">
        <v>11</v>
      </c>
      <c r="B22" s="2" t="s">
        <v>412</v>
      </c>
      <c r="C22" s="2" t="s">
        <v>413</v>
      </c>
    </row>
    <row r="23" spans="1:3">
      <c r="A23" s="152">
        <v>12</v>
      </c>
      <c r="B23" s="2" t="s">
        <v>414</v>
      </c>
      <c r="C23" s="2" t="s">
        <v>415</v>
      </c>
    </row>
    <row r="24" spans="1:3">
      <c r="A24" s="152">
        <v>13</v>
      </c>
      <c r="B24" s="2" t="s">
        <v>450</v>
      </c>
      <c r="C24" s="2" t="s">
        <v>416</v>
      </c>
    </row>
    <row r="25" spans="1:3">
      <c r="A25" s="152">
        <v>14</v>
      </c>
      <c r="B25" s="2" t="s">
        <v>417</v>
      </c>
      <c r="C25" s="2" t="s">
        <v>418</v>
      </c>
    </row>
    <row r="26" spans="1:3">
      <c r="A26" s="152">
        <v>15</v>
      </c>
      <c r="B26" s="2" t="s">
        <v>419</v>
      </c>
      <c r="C26" s="2" t="s">
        <v>420</v>
      </c>
    </row>
    <row r="27" spans="1:3">
      <c r="A27" s="152">
        <v>16</v>
      </c>
      <c r="B27" s="2" t="s">
        <v>421</v>
      </c>
      <c r="C27" s="2" t="s">
        <v>422</v>
      </c>
    </row>
    <row r="28" spans="1:3">
      <c r="A28" s="152">
        <v>17</v>
      </c>
      <c r="B28" s="2" t="s">
        <v>423</v>
      </c>
      <c r="C28" s="2" t="s">
        <v>424</v>
      </c>
    </row>
    <row r="29" spans="1:3">
      <c r="A29" s="152">
        <v>18</v>
      </c>
      <c r="B29" s="2" t="s">
        <v>425</v>
      </c>
      <c r="C29" s="2" t="s">
        <v>426</v>
      </c>
    </row>
    <row r="30" spans="1:3">
      <c r="A30" s="152">
        <v>19</v>
      </c>
      <c r="B30" s="2" t="s">
        <v>427</v>
      </c>
      <c r="C30" s="2" t="s">
        <v>428</v>
      </c>
    </row>
    <row r="31" spans="1:3">
      <c r="A31" s="152">
        <v>20</v>
      </c>
      <c r="B31" s="2" t="s">
        <v>429</v>
      </c>
      <c r="C31" s="2" t="s">
        <v>430</v>
      </c>
    </row>
    <row r="32" spans="1:3">
      <c r="A32" s="152">
        <v>21</v>
      </c>
      <c r="B32" s="2" t="s">
        <v>431</v>
      </c>
      <c r="C32" s="2" t="s">
        <v>432</v>
      </c>
    </row>
    <row r="33" spans="1:3">
      <c r="A33" s="152">
        <v>22</v>
      </c>
      <c r="B33" s="2" t="s">
        <v>433</v>
      </c>
      <c r="C33" s="2" t="s">
        <v>434</v>
      </c>
    </row>
    <row r="34" spans="1:3">
      <c r="A34" s="152">
        <v>23</v>
      </c>
      <c r="B34" s="2" t="s">
        <v>435</v>
      </c>
      <c r="C34" s="2" t="s">
        <v>436</v>
      </c>
    </row>
    <row r="35" spans="1:3">
      <c r="A35" s="152">
        <v>24</v>
      </c>
      <c r="B35" s="2" t="s">
        <v>437</v>
      </c>
      <c r="C35" s="2" t="s">
        <v>438</v>
      </c>
    </row>
    <row r="36" spans="1:3">
      <c r="A36" s="152">
        <v>25</v>
      </c>
      <c r="B36" s="2" t="s">
        <v>439</v>
      </c>
      <c r="C36" s="2" t="s">
        <v>440</v>
      </c>
    </row>
    <row r="37" spans="1:3">
      <c r="A37" s="152">
        <v>26</v>
      </c>
      <c r="B37" s="2" t="s">
        <v>441</v>
      </c>
      <c r="C37" s="2" t="s">
        <v>442</v>
      </c>
    </row>
    <row r="38" spans="1:3">
      <c r="A38" s="152">
        <v>27</v>
      </c>
      <c r="B38" s="2" t="s">
        <v>443</v>
      </c>
      <c r="C38" s="2" t="s">
        <v>444</v>
      </c>
    </row>
    <row r="39" spans="1:3">
      <c r="A39" s="152">
        <v>28</v>
      </c>
      <c r="B39" s="2" t="s">
        <v>445</v>
      </c>
      <c r="C39" s="2" t="s">
        <v>446</v>
      </c>
    </row>
    <row r="40" spans="1:3">
      <c r="A40" s="152">
        <v>29</v>
      </c>
      <c r="B40" s="2" t="s">
        <v>447</v>
      </c>
      <c r="C40" s="2" t="s">
        <v>448</v>
      </c>
    </row>
    <row r="43" spans="1:3">
      <c r="A43" s="5"/>
    </row>
    <row r="44" spans="1:3">
      <c r="A44" s="5"/>
    </row>
    <row r="45" spans="1:3">
      <c r="A45" s="5"/>
    </row>
    <row r="46" spans="1:3">
      <c r="A46" s="5"/>
    </row>
    <row r="47" spans="1:3">
      <c r="A47" s="5"/>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Sheet1"/>
  <dimension ref="A1:H184"/>
  <sheetViews>
    <sheetView zoomScale="90" zoomScaleNormal="90" workbookViewId="0">
      <selection activeCell="B4" sqref="B4"/>
    </sheetView>
  </sheetViews>
  <sheetFormatPr defaultColWidth="10.6640625" defaultRowHeight="15"/>
  <cols>
    <col min="1" max="1" width="31.109375" style="6" customWidth="1"/>
    <col min="2" max="2" width="33.88671875" style="2" customWidth="1"/>
    <col min="3" max="3" width="69.109375" style="2" customWidth="1"/>
    <col min="4" max="4" width="10.21875" style="2" customWidth="1"/>
    <col min="5" max="5" width="7" style="2" customWidth="1"/>
    <col min="6" max="6" width="7.6640625" style="2" customWidth="1"/>
    <col min="7" max="7" width="27" style="2" customWidth="1"/>
    <col min="8" max="8" width="15.109375" style="2" customWidth="1"/>
    <col min="9" max="16384" width="10.6640625" style="2"/>
  </cols>
  <sheetData>
    <row r="1" spans="1:8" s="6" customFormat="1" ht="15.75" customHeight="1">
      <c r="A1" s="1" t="s">
        <v>115</v>
      </c>
    </row>
    <row r="2" spans="1:8" ht="18" customHeight="1" thickBot="1">
      <c r="A2" s="3" t="str">
        <f ca="1">MID(CELL("filename",A1),FIND("]",CELL("filename",A1))+1,LEN(CELL("filename",A1))-FIND("]",CELL("filename",A1)))</f>
        <v>2. Notes and Assumptions</v>
      </c>
      <c r="C2" s="93"/>
    </row>
    <row r="3" spans="1:8" ht="16.5" thickBot="1">
      <c r="B3" s="9" t="s">
        <v>5</v>
      </c>
      <c r="C3" s="193" t="s">
        <v>485</v>
      </c>
      <c r="F3" s="106"/>
      <c r="G3" s="142" t="s">
        <v>295</v>
      </c>
      <c r="H3" s="110" t="s">
        <v>299</v>
      </c>
    </row>
    <row r="4" spans="1:8" ht="16.5" thickBot="1">
      <c r="B4" s="169"/>
      <c r="C4" s="8" t="s">
        <v>194</v>
      </c>
      <c r="F4" s="107"/>
      <c r="G4" s="111" t="s">
        <v>296</v>
      </c>
      <c r="H4" s="143">
        <v>1</v>
      </c>
    </row>
    <row r="5" spans="1:8" ht="16.5" thickBot="1">
      <c r="B5" s="170"/>
      <c r="C5" s="8" t="s">
        <v>451</v>
      </c>
      <c r="F5" s="107"/>
      <c r="G5" s="111" t="s">
        <v>297</v>
      </c>
      <c r="H5" s="143">
        <v>2</v>
      </c>
    </row>
    <row r="6" spans="1:8" ht="15.75" thickBot="1">
      <c r="B6" s="171" t="s">
        <v>467</v>
      </c>
      <c r="C6" s="8" t="s">
        <v>6</v>
      </c>
      <c r="F6" s="107"/>
      <c r="G6" s="111" t="s">
        <v>311</v>
      </c>
      <c r="H6" s="143">
        <v>3</v>
      </c>
    </row>
    <row r="7" spans="1:8" ht="15.75" thickBot="1">
      <c r="B7" s="172" t="s">
        <v>477</v>
      </c>
      <c r="C7" s="8" t="s">
        <v>452</v>
      </c>
      <c r="F7" s="107"/>
      <c r="G7" s="111" t="s">
        <v>298</v>
      </c>
      <c r="H7" s="143">
        <v>4</v>
      </c>
    </row>
    <row r="8" spans="1:8" ht="15.75" thickBot="1">
      <c r="B8" s="173" t="s">
        <v>183</v>
      </c>
      <c r="C8" s="8" t="s">
        <v>143</v>
      </c>
      <c r="F8" s="108">
        <f>B68</f>
        <v>44</v>
      </c>
      <c r="G8" s="111" t="s">
        <v>246</v>
      </c>
      <c r="H8" s="143">
        <v>5</v>
      </c>
    </row>
    <row r="9" spans="1:8" ht="15.75" thickBot="1">
      <c r="B9" s="174" t="s">
        <v>7</v>
      </c>
      <c r="C9" s="8" t="s">
        <v>8</v>
      </c>
      <c r="F9" s="108">
        <f>B78</f>
        <v>54</v>
      </c>
      <c r="G9" s="111" t="s">
        <v>369</v>
      </c>
      <c r="H9" s="143">
        <v>1</v>
      </c>
    </row>
    <row r="10" spans="1:8">
      <c r="B10" s="7"/>
      <c r="C10" s="8"/>
      <c r="F10" s="107"/>
      <c r="G10" s="50"/>
      <c r="H10" s="143"/>
    </row>
    <row r="11" spans="1:8" ht="16.5" thickBot="1">
      <c r="B11" s="10" t="s">
        <v>288</v>
      </c>
      <c r="F11" s="109"/>
      <c r="G11" s="113" t="s">
        <v>300</v>
      </c>
      <c r="H11" s="144">
        <f>VLOOKUP(C14,$G$4:$H$9,2,FALSE)</f>
        <v>1</v>
      </c>
    </row>
    <row r="12" spans="1:8">
      <c r="B12" s="2" t="s">
        <v>289</v>
      </c>
      <c r="C12" s="101" t="s">
        <v>369</v>
      </c>
    </row>
    <row r="13" spans="1:8">
      <c r="B13" s="2" t="s">
        <v>290</v>
      </c>
      <c r="C13" s="101" t="s">
        <v>246</v>
      </c>
    </row>
    <row r="14" spans="1:8">
      <c r="B14" s="2" t="s">
        <v>291</v>
      </c>
      <c r="C14" s="102" t="s">
        <v>369</v>
      </c>
    </row>
    <row r="15" spans="1:8">
      <c r="B15" s="2" t="s">
        <v>373</v>
      </c>
      <c r="C15" s="101" t="s">
        <v>369</v>
      </c>
      <c r="E15" s="100"/>
    </row>
    <row r="16" spans="1:8">
      <c r="B16" s="2" t="s">
        <v>312</v>
      </c>
      <c r="C16" s="101" t="s">
        <v>369</v>
      </c>
      <c r="E16" s="100"/>
    </row>
    <row r="17" spans="2:5">
      <c r="B17" s="2" t="s">
        <v>358</v>
      </c>
      <c r="C17" s="101" t="s">
        <v>383</v>
      </c>
      <c r="E17" s="100"/>
    </row>
    <row r="18" spans="2:5">
      <c r="B18" s="2" t="s">
        <v>359</v>
      </c>
      <c r="C18" s="101" t="s">
        <v>383</v>
      </c>
      <c r="E18" s="100"/>
    </row>
    <row r="19" spans="2:5">
      <c r="B19" s="2" t="s">
        <v>360</v>
      </c>
      <c r="C19" s="101" t="s">
        <v>365</v>
      </c>
      <c r="E19" s="100"/>
    </row>
    <row r="20" spans="2:5">
      <c r="E20" s="100"/>
    </row>
    <row r="21" spans="2:5" ht="15.75">
      <c r="B21" s="9" t="s">
        <v>9</v>
      </c>
      <c r="C21" s="8"/>
      <c r="E21" s="100"/>
    </row>
    <row r="22" spans="2:5">
      <c r="B22" s="11">
        <v>1</v>
      </c>
      <c r="C22" s="139" t="s">
        <v>469</v>
      </c>
      <c r="E22" s="100"/>
    </row>
    <row r="23" spans="2:5" ht="30">
      <c r="B23" s="11">
        <v>2</v>
      </c>
      <c r="C23" s="139" t="s">
        <v>470</v>
      </c>
    </row>
    <row r="24" spans="2:5">
      <c r="B24" s="11">
        <v>3</v>
      </c>
      <c r="C24" s="140" t="s">
        <v>388</v>
      </c>
    </row>
    <row r="25" spans="2:5" ht="30">
      <c r="B25" s="11">
        <v>4</v>
      </c>
      <c r="C25" s="139" t="s">
        <v>249</v>
      </c>
    </row>
    <row r="26" spans="2:5">
      <c r="B26" s="11">
        <v>5</v>
      </c>
      <c r="C26" s="139" t="s">
        <v>175</v>
      </c>
    </row>
    <row r="27" spans="2:5" ht="75">
      <c r="B27" s="11">
        <v>6</v>
      </c>
      <c r="C27" s="139" t="s">
        <v>217</v>
      </c>
    </row>
    <row r="28" spans="2:5">
      <c r="B28" s="11">
        <v>7</v>
      </c>
      <c r="C28" s="189" t="s">
        <v>480</v>
      </c>
    </row>
    <row r="29" spans="2:5">
      <c r="B29" s="11"/>
      <c r="C29" s="189" t="s">
        <v>479</v>
      </c>
    </row>
    <row r="30" spans="2:5" ht="30">
      <c r="B30" s="11">
        <v>8</v>
      </c>
      <c r="C30" s="140" t="s">
        <v>247</v>
      </c>
    </row>
    <row r="31" spans="2:5" ht="30">
      <c r="B31" s="11">
        <v>9</v>
      </c>
      <c r="C31" s="140" t="s">
        <v>248</v>
      </c>
    </row>
    <row r="32" spans="2:5" ht="30">
      <c r="B32" s="11">
        <v>10</v>
      </c>
      <c r="C32" s="140" t="s">
        <v>285</v>
      </c>
    </row>
    <row r="33" spans="2:3" ht="45">
      <c r="B33" s="11">
        <v>11</v>
      </c>
      <c r="C33" s="140" t="s">
        <v>286</v>
      </c>
    </row>
    <row r="34" spans="2:3" ht="45">
      <c r="B34" s="11">
        <v>12</v>
      </c>
      <c r="C34" s="140" t="s">
        <v>86</v>
      </c>
    </row>
    <row r="35" spans="2:3" ht="75">
      <c r="B35" s="11">
        <v>13</v>
      </c>
      <c r="C35" s="140" t="s">
        <v>87</v>
      </c>
    </row>
    <row r="36" spans="2:3" ht="90">
      <c r="B36" s="11">
        <v>14</v>
      </c>
      <c r="C36" s="140" t="s">
        <v>287</v>
      </c>
    </row>
    <row r="37" spans="2:3" ht="60" customHeight="1">
      <c r="B37" s="11">
        <v>15</v>
      </c>
      <c r="C37" s="140" t="s">
        <v>88</v>
      </c>
    </row>
    <row r="38" spans="2:3" ht="75">
      <c r="B38" s="11">
        <v>16</v>
      </c>
      <c r="C38" s="140" t="s">
        <v>197</v>
      </c>
    </row>
    <row r="39" spans="2:3">
      <c r="B39" s="11">
        <v>17</v>
      </c>
      <c r="C39" s="140" t="s">
        <v>89</v>
      </c>
    </row>
    <row r="40" spans="2:3" ht="30">
      <c r="B40" s="11">
        <v>18</v>
      </c>
      <c r="C40" s="140" t="s">
        <v>90</v>
      </c>
    </row>
    <row r="41" spans="2:3" ht="45">
      <c r="B41" s="11">
        <v>19</v>
      </c>
      <c r="C41" s="140" t="s">
        <v>474</v>
      </c>
    </row>
    <row r="42" spans="2:3">
      <c r="B42" s="141"/>
      <c r="C42" s="141" t="s">
        <v>481</v>
      </c>
    </row>
    <row r="43" spans="2:3" ht="45">
      <c r="B43" s="11">
        <v>20</v>
      </c>
      <c r="C43" s="140" t="s">
        <v>244</v>
      </c>
    </row>
    <row r="44" spans="2:3" ht="30">
      <c r="B44" s="11">
        <v>21</v>
      </c>
      <c r="C44" s="140" t="s">
        <v>198</v>
      </c>
    </row>
    <row r="45" spans="2:3">
      <c r="B45" s="11">
        <v>22</v>
      </c>
      <c r="C45" s="140" t="s">
        <v>199</v>
      </c>
    </row>
    <row r="46" spans="2:3" ht="90">
      <c r="B46" s="11">
        <v>23</v>
      </c>
      <c r="C46" s="140" t="s">
        <v>213</v>
      </c>
    </row>
    <row r="47" spans="2:3" ht="60">
      <c r="B47" s="11">
        <v>24</v>
      </c>
      <c r="C47" s="140" t="s">
        <v>212</v>
      </c>
    </row>
    <row r="48" spans="2:3" ht="30">
      <c r="B48" s="11">
        <v>25</v>
      </c>
      <c r="C48" s="140" t="s">
        <v>372</v>
      </c>
    </row>
    <row r="49" spans="2:3" ht="30">
      <c r="B49" s="11">
        <v>26</v>
      </c>
      <c r="C49" s="140" t="s">
        <v>245</v>
      </c>
    </row>
    <row r="50" spans="2:3">
      <c r="B50" s="11">
        <v>27</v>
      </c>
      <c r="C50" s="140" t="s">
        <v>388</v>
      </c>
    </row>
    <row r="51" spans="2:3" ht="30">
      <c r="B51" s="11">
        <v>28</v>
      </c>
      <c r="C51" s="140" t="s">
        <v>258</v>
      </c>
    </row>
    <row r="52" spans="2:3" ht="30">
      <c r="B52" s="11">
        <v>29</v>
      </c>
      <c r="C52" s="140" t="s">
        <v>269</v>
      </c>
    </row>
    <row r="53" spans="2:3" ht="30">
      <c r="B53" s="11">
        <v>30</v>
      </c>
      <c r="C53" s="140" t="s">
        <v>282</v>
      </c>
    </row>
    <row r="54" spans="2:3">
      <c r="B54" s="11">
        <v>31</v>
      </c>
      <c r="C54" s="140" t="s">
        <v>270</v>
      </c>
    </row>
    <row r="55" spans="2:3" ht="15.75" customHeight="1">
      <c r="B55" s="11">
        <v>32</v>
      </c>
      <c r="C55" s="140" t="s">
        <v>266</v>
      </c>
    </row>
    <row r="56" spans="2:3">
      <c r="B56" s="11">
        <v>33</v>
      </c>
      <c r="C56" s="140" t="s">
        <v>471</v>
      </c>
    </row>
    <row r="57" spans="2:3">
      <c r="B57" s="11"/>
      <c r="C57" s="141" t="s">
        <v>481</v>
      </c>
    </row>
    <row r="58" spans="2:3" ht="30">
      <c r="B58" s="11">
        <v>34</v>
      </c>
      <c r="C58" s="140" t="s">
        <v>271</v>
      </c>
    </row>
    <row r="59" spans="2:3" ht="45">
      <c r="B59" s="11">
        <v>35</v>
      </c>
      <c r="C59" s="140" t="s">
        <v>272</v>
      </c>
    </row>
    <row r="60" spans="2:3" ht="30">
      <c r="B60" s="11">
        <v>36</v>
      </c>
      <c r="C60" s="140" t="s">
        <v>472</v>
      </c>
    </row>
    <row r="61" spans="2:3" ht="30">
      <c r="B61" s="11">
        <v>37</v>
      </c>
      <c r="C61" s="140" t="s">
        <v>280</v>
      </c>
    </row>
    <row r="62" spans="2:3" ht="45">
      <c r="B62" s="11">
        <v>38</v>
      </c>
      <c r="C62" s="140" t="s">
        <v>314</v>
      </c>
    </row>
    <row r="63" spans="2:3" ht="30">
      <c r="B63" s="11">
        <v>39</v>
      </c>
      <c r="C63" s="140" t="s">
        <v>281</v>
      </c>
    </row>
    <row r="64" spans="2:3" ht="30">
      <c r="B64" s="11">
        <v>40</v>
      </c>
      <c r="C64" s="140" t="s">
        <v>283</v>
      </c>
    </row>
    <row r="65" spans="2:3" ht="60">
      <c r="B65" s="11">
        <v>41</v>
      </c>
      <c r="C65" s="140" t="s">
        <v>374</v>
      </c>
    </row>
    <row r="66" spans="2:3" ht="45">
      <c r="B66" s="11">
        <v>42</v>
      </c>
      <c r="C66" s="140" t="s">
        <v>284</v>
      </c>
    </row>
    <row r="67" spans="2:3" ht="30">
      <c r="B67" s="11">
        <v>43</v>
      </c>
      <c r="C67" s="140" t="s">
        <v>310</v>
      </c>
    </row>
    <row r="68" spans="2:3" ht="60">
      <c r="B68" s="11">
        <v>44</v>
      </c>
      <c r="C68" s="140" t="s">
        <v>313</v>
      </c>
    </row>
    <row r="69" spans="2:3" ht="60">
      <c r="B69" s="11">
        <v>45</v>
      </c>
      <c r="C69" s="140" t="s">
        <v>315</v>
      </c>
    </row>
    <row r="70" spans="2:3">
      <c r="B70" s="11">
        <v>46</v>
      </c>
      <c r="C70" s="140" t="s">
        <v>318</v>
      </c>
    </row>
    <row r="71" spans="2:3" ht="45">
      <c r="B71" s="11">
        <v>47</v>
      </c>
      <c r="C71" s="140" t="s">
        <v>349</v>
      </c>
    </row>
    <row r="72" spans="2:3" ht="45">
      <c r="B72" s="11">
        <v>48</v>
      </c>
      <c r="C72" s="140" t="s">
        <v>350</v>
      </c>
    </row>
    <row r="73" spans="2:3" ht="45">
      <c r="B73" s="11">
        <v>49</v>
      </c>
      <c r="C73" s="140" t="s">
        <v>351</v>
      </c>
    </row>
    <row r="74" spans="2:3" ht="60">
      <c r="B74" s="11">
        <v>50</v>
      </c>
      <c r="C74" s="140" t="s">
        <v>387</v>
      </c>
    </row>
    <row r="75" spans="2:3">
      <c r="B75" s="11">
        <v>51</v>
      </c>
      <c r="C75" s="140" t="s">
        <v>371</v>
      </c>
    </row>
    <row r="76" spans="2:3" ht="60">
      <c r="B76" s="11">
        <v>52</v>
      </c>
      <c r="C76" s="140" t="s">
        <v>379</v>
      </c>
    </row>
    <row r="77" spans="2:3" ht="30">
      <c r="B77" s="11">
        <v>53</v>
      </c>
      <c r="C77" s="140" t="s">
        <v>382</v>
      </c>
    </row>
    <row r="78" spans="2:3" ht="60">
      <c r="B78" s="11">
        <v>54</v>
      </c>
      <c r="C78" s="140" t="s">
        <v>385</v>
      </c>
    </row>
    <row r="79" spans="2:3" ht="30">
      <c r="B79" s="11">
        <v>55</v>
      </c>
      <c r="C79" s="140" t="s">
        <v>473</v>
      </c>
    </row>
    <row r="80" spans="2:3">
      <c r="B80" s="11"/>
      <c r="C80" s="141" t="s">
        <v>481</v>
      </c>
    </row>
    <row r="81" spans="2:4" ht="15.75" thickBot="1">
      <c r="B81" s="11"/>
    </row>
    <row r="82" spans="2:4" ht="15.75">
      <c r="B82" s="175" t="s">
        <v>476</v>
      </c>
      <c r="C82" s="176"/>
      <c r="D82" s="177"/>
    </row>
    <row r="83" spans="2:4" ht="15.75">
      <c r="B83" s="108">
        <f>B22</f>
        <v>1</v>
      </c>
      <c r="C83" s="179" t="s">
        <v>182</v>
      </c>
      <c r="D83" s="178"/>
    </row>
    <row r="84" spans="2:4">
      <c r="B84" s="108"/>
      <c r="C84" s="180" t="s">
        <v>178</v>
      </c>
      <c r="D84" s="181">
        <f ca="1">SUM('12. Water - Existing Assets RAB'!D17:H17)</f>
        <v>0</v>
      </c>
    </row>
    <row r="85" spans="2:4">
      <c r="B85" s="108"/>
      <c r="C85" s="180" t="s">
        <v>179</v>
      </c>
      <c r="D85" s="181">
        <f ca="1">SUM('20. Sewer - Existing Assets RAB'!D18:H18)</f>
        <v>0</v>
      </c>
    </row>
    <row r="86" spans="2:4">
      <c r="B86" s="108"/>
      <c r="C86" s="180" t="s">
        <v>180</v>
      </c>
      <c r="D86" s="181">
        <f ca="1">SUM('13. Water - Capex RAB'!D18:H18)</f>
        <v>0</v>
      </c>
    </row>
    <row r="87" spans="2:4">
      <c r="B87" s="108"/>
      <c r="C87" s="180" t="s">
        <v>181</v>
      </c>
      <c r="D87" s="181">
        <f ca="1">SUM('21. Sewer - Capex RAB'!D18:H18)</f>
        <v>2.9802322387695313E-7</v>
      </c>
    </row>
    <row r="88" spans="2:4">
      <c r="B88" s="108"/>
      <c r="C88" s="180" t="s">
        <v>184</v>
      </c>
      <c r="D88" s="181">
        <f>'13. Water - Capex RAB'!H19</f>
        <v>0</v>
      </c>
    </row>
    <row r="89" spans="2:4">
      <c r="B89" s="108"/>
      <c r="C89" s="180" t="s">
        <v>185</v>
      </c>
      <c r="D89" s="181">
        <f>'21. Sewer - Capex RAB'!H19</f>
        <v>0</v>
      </c>
    </row>
    <row r="90" spans="2:4">
      <c r="B90" s="108"/>
      <c r="C90" s="180" t="s">
        <v>186</v>
      </c>
      <c r="D90" s="181">
        <f>SUM('14.Water-Existing Assets Tax BV'!D18:H18)</f>
        <v>0</v>
      </c>
    </row>
    <row r="91" spans="2:4">
      <c r="B91" s="108"/>
      <c r="C91" s="180" t="s">
        <v>187</v>
      </c>
      <c r="D91" s="181">
        <f>SUM('22.Sewer-Existing Assets Tax BV'!D18:H18)</f>
        <v>0</v>
      </c>
    </row>
    <row r="92" spans="2:4">
      <c r="B92" s="108"/>
      <c r="C92" s="180" t="s">
        <v>193</v>
      </c>
      <c r="D92" s="181" t="str">
        <f ca="1">IF(ABS(SUM(D84:D91))&lt;0.1,"OK","ERROR")</f>
        <v>OK</v>
      </c>
    </row>
    <row r="93" spans="2:4">
      <c r="B93" s="108"/>
      <c r="C93" s="50"/>
      <c r="D93" s="178"/>
    </row>
    <row r="94" spans="2:4" ht="15.75">
      <c r="B94" s="108">
        <f>B23</f>
        <v>2</v>
      </c>
      <c r="C94" s="182" t="s">
        <v>188</v>
      </c>
      <c r="D94" s="178"/>
    </row>
    <row r="95" spans="2:4">
      <c r="B95" s="108"/>
      <c r="C95" s="180" t="s">
        <v>189</v>
      </c>
      <c r="D95" s="181">
        <f ca="1">ROUND('17. Water - Price Setting'!D43,0)</f>
        <v>0</v>
      </c>
    </row>
    <row r="96" spans="2:4">
      <c r="B96" s="108"/>
      <c r="C96" s="180" t="s">
        <v>190</v>
      </c>
      <c r="D96" s="181">
        <f ca="1">ROUND('17. Water - Price Setting'!D72,0)</f>
        <v>0</v>
      </c>
    </row>
    <row r="97" spans="2:4">
      <c r="B97" s="108"/>
      <c r="C97" s="180" t="s">
        <v>191</v>
      </c>
      <c r="D97" s="181">
        <f ca="1">ROUND('25. Sewer - Price Setting'!D37,0)</f>
        <v>0</v>
      </c>
    </row>
    <row r="98" spans="2:4">
      <c r="B98" s="108"/>
      <c r="C98" s="180" t="s">
        <v>192</v>
      </c>
      <c r="D98" s="181">
        <f ca="1">ROUND('25. Sewer - Price Setting'!D62,0)</f>
        <v>0</v>
      </c>
    </row>
    <row r="99" spans="2:4">
      <c r="B99" s="108"/>
      <c r="C99" s="180" t="s">
        <v>259</v>
      </c>
      <c r="D99" s="181">
        <f ca="1">ROUND(SUM('7. Uriarra CSO Calculation'!E55:I55),0)</f>
        <v>0</v>
      </c>
    </row>
    <row r="100" spans="2:4">
      <c r="B100" s="108"/>
      <c r="C100" s="180" t="s">
        <v>260</v>
      </c>
      <c r="D100" s="181">
        <f ca="1">ROUND(SUM('7. Uriarra CSO Calculation'!E87:I87),0)</f>
        <v>0</v>
      </c>
    </row>
    <row r="101" spans="2:4">
      <c r="B101" s="108"/>
      <c r="C101" s="180" t="s">
        <v>275</v>
      </c>
      <c r="D101" s="181">
        <f ca="1">ROUND(SUM('8. Discovery Trail CSO'!E53:I53),0)</f>
        <v>0</v>
      </c>
    </row>
    <row r="102" spans="2:4">
      <c r="B102" s="108"/>
      <c r="C102" s="180" t="s">
        <v>276</v>
      </c>
      <c r="D102" s="181">
        <f ca="1">ROUND(SUM('9. Gas Abatement CSO'!E53:I53),0)</f>
        <v>0</v>
      </c>
    </row>
    <row r="103" spans="2:4">
      <c r="B103" s="108"/>
      <c r="C103" s="180" t="s">
        <v>277</v>
      </c>
      <c r="D103" s="181" t="str">
        <f ca="1">IF(ABS(SUM(D95:D100))&lt;0.1,"OK","ERROR")</f>
        <v>OK</v>
      </c>
    </row>
    <row r="104" spans="2:4">
      <c r="B104" s="108"/>
      <c r="C104" s="180"/>
      <c r="D104" s="183"/>
    </row>
    <row r="105" spans="2:4" ht="15.75" thickBot="1">
      <c r="B105" s="184">
        <f>B60</f>
        <v>36</v>
      </c>
      <c r="C105" s="185" t="s">
        <v>278</v>
      </c>
      <c r="D105" s="186" t="b">
        <f ca="1">IF(D103="OK",TRUE,FALSE)</f>
        <v>1</v>
      </c>
    </row>
    <row r="106" spans="2:4">
      <c r="B106" s="11"/>
    </row>
    <row r="107" spans="2:4">
      <c r="B107" s="11"/>
    </row>
    <row r="108" spans="2:4">
      <c r="B108" s="11"/>
    </row>
    <row r="109" spans="2:4">
      <c r="B109" s="11"/>
    </row>
    <row r="110" spans="2:4">
      <c r="B110" s="11"/>
    </row>
    <row r="111" spans="2:4">
      <c r="B111" s="11"/>
    </row>
    <row r="112" spans="2:4">
      <c r="B112" s="11"/>
    </row>
    <row r="113" spans="2:2">
      <c r="B113" s="11"/>
    </row>
    <row r="114" spans="2:2">
      <c r="B114" s="11"/>
    </row>
    <row r="115" spans="2:2">
      <c r="B115" s="11"/>
    </row>
    <row r="116" spans="2:2">
      <c r="B116" s="11"/>
    </row>
    <row r="117" spans="2:2">
      <c r="B117" s="11"/>
    </row>
    <row r="118" spans="2:2">
      <c r="B118" s="11"/>
    </row>
    <row r="119" spans="2:2">
      <c r="B119" s="11"/>
    </row>
    <row r="120" spans="2:2">
      <c r="B120" s="11"/>
    </row>
    <row r="121" spans="2:2">
      <c r="B121" s="11"/>
    </row>
    <row r="122" spans="2:2">
      <c r="B122" s="11"/>
    </row>
    <row r="123" spans="2:2">
      <c r="B123" s="11"/>
    </row>
    <row r="124" spans="2:2">
      <c r="B124" s="11"/>
    </row>
    <row r="125" spans="2:2">
      <c r="B125" s="11"/>
    </row>
    <row r="126" spans="2:2">
      <c r="B126" s="11"/>
    </row>
    <row r="127" spans="2:2">
      <c r="B127" s="11"/>
    </row>
    <row r="128" spans="2:2">
      <c r="B128" s="11"/>
    </row>
    <row r="129" spans="2:2">
      <c r="B129" s="11"/>
    </row>
    <row r="130" spans="2:2">
      <c r="B130" s="11"/>
    </row>
    <row r="131" spans="2:2">
      <c r="B131" s="11"/>
    </row>
    <row r="132" spans="2:2">
      <c r="B132" s="11"/>
    </row>
    <row r="133" spans="2:2">
      <c r="B133" s="11"/>
    </row>
    <row r="134" spans="2:2">
      <c r="B134" s="11"/>
    </row>
    <row r="135" spans="2:2">
      <c r="B135" s="11"/>
    </row>
    <row r="136" spans="2:2">
      <c r="B136" s="11"/>
    </row>
    <row r="137" spans="2:2">
      <c r="B137" s="11"/>
    </row>
    <row r="138" spans="2:2">
      <c r="B138" s="11"/>
    </row>
    <row r="139" spans="2:2">
      <c r="B139" s="11"/>
    </row>
    <row r="140" spans="2:2">
      <c r="B140" s="11"/>
    </row>
    <row r="141" spans="2:2">
      <c r="B141" s="11"/>
    </row>
    <row r="142" spans="2:2">
      <c r="B142" s="11"/>
    </row>
    <row r="143" spans="2:2">
      <c r="B143" s="11"/>
    </row>
    <row r="144" spans="2:2">
      <c r="B144" s="11"/>
    </row>
    <row r="145" spans="2:2">
      <c r="B145" s="11"/>
    </row>
    <row r="146" spans="2:2">
      <c r="B146" s="11"/>
    </row>
    <row r="147" spans="2:2">
      <c r="B147" s="11"/>
    </row>
    <row r="148" spans="2:2">
      <c r="B148" s="11"/>
    </row>
    <row r="149" spans="2:2">
      <c r="B149" s="11"/>
    </row>
    <row r="150" spans="2:2">
      <c r="B150" s="11"/>
    </row>
    <row r="151" spans="2:2">
      <c r="B151" s="11"/>
    </row>
    <row r="152" spans="2:2">
      <c r="B152" s="11"/>
    </row>
    <row r="153" spans="2:2">
      <c r="B153" s="11"/>
    </row>
    <row r="154" spans="2:2">
      <c r="B154" s="11"/>
    </row>
    <row r="155" spans="2:2">
      <c r="B155" s="11"/>
    </row>
    <row r="156" spans="2:2">
      <c r="B156" s="11"/>
    </row>
    <row r="157" spans="2:2">
      <c r="B157" s="11"/>
    </row>
    <row r="158" spans="2:2">
      <c r="B158" s="11"/>
    </row>
    <row r="159" spans="2:2">
      <c r="B159" s="11"/>
    </row>
    <row r="160" spans="2:2">
      <c r="B160" s="11"/>
    </row>
    <row r="161" spans="2:2">
      <c r="B161" s="11"/>
    </row>
    <row r="162" spans="2:2">
      <c r="B162" s="11"/>
    </row>
    <row r="163" spans="2:2">
      <c r="B163" s="11"/>
    </row>
    <row r="164" spans="2:2">
      <c r="B164" s="11"/>
    </row>
    <row r="165" spans="2:2">
      <c r="B165" s="11"/>
    </row>
    <row r="166" spans="2:2">
      <c r="B166" s="11"/>
    </row>
    <row r="167" spans="2:2">
      <c r="B167" s="11"/>
    </row>
    <row r="168" spans="2:2">
      <c r="B168" s="11"/>
    </row>
    <row r="169" spans="2:2">
      <c r="B169" s="11"/>
    </row>
    <row r="170" spans="2:2">
      <c r="B170" s="11"/>
    </row>
    <row r="171" spans="2:2">
      <c r="B171" s="11"/>
    </row>
    <row r="172" spans="2:2">
      <c r="B172" s="11"/>
    </row>
    <row r="173" spans="2:2">
      <c r="B173" s="11"/>
    </row>
    <row r="174" spans="2:2">
      <c r="B174" s="11"/>
    </row>
    <row r="175" spans="2:2">
      <c r="B175" s="11"/>
    </row>
    <row r="176" spans="2:2">
      <c r="B176" s="11"/>
    </row>
    <row r="177" spans="2:2">
      <c r="B177" s="11"/>
    </row>
    <row r="178" spans="2:2">
      <c r="B178" s="11"/>
    </row>
    <row r="179" spans="2:2">
      <c r="B179" s="11"/>
    </row>
    <row r="180" spans="2:2">
      <c r="B180" s="11"/>
    </row>
    <row r="181" spans="2:2">
      <c r="B181" s="11"/>
    </row>
    <row r="182" spans="2:2">
      <c r="B182" s="11"/>
    </row>
    <row r="183" spans="2:2">
      <c r="B183" s="11"/>
    </row>
    <row r="184" spans="2:2">
      <c r="B184" s="11"/>
    </row>
  </sheetData>
  <conditionalFormatting sqref="B1:XFD1 A3:A1048576">
    <cfRule type="expression" dxfId="1" priority="19" stopIfTrue="1">
      <formula>$D$92="ERROR"</formula>
    </cfRule>
    <cfRule type="expression" dxfId="0" priority="20">
      <formula>$D$103="ERROR"</formula>
    </cfRule>
  </conditionalFormatting>
  <dataValidations count="1">
    <dataValidation type="list" allowBlank="1" showInputMessage="1" showErrorMessage="1" sqref="C14 E17">
      <formula1>$G$4:$G$9</formula1>
    </dataValidation>
  </dataValidations>
  <hyperlinks>
    <hyperlink ref="C57" r:id="rId1" tooltip="ICRC's Pricing Model - Source of Data"/>
    <hyperlink ref="C80" r:id="rId2" tooltip="ICRC's Pricing Model - Source of Data"/>
    <hyperlink ref="C28" r:id="rId3" tooltip="2013-14 Water and Sewerage Schedule of Charges"/>
    <hyperlink ref="C29" r:id="rId4" tooltip="2014-15 Water and Sewerage Schedule of Charges"/>
    <hyperlink ref="C42" r:id="rId5" tooltip="ICRC's Pricing Model - Source of Data"/>
  </hyperlinks>
  <pageMargins left="0" right="0" top="0" bottom="0" header="0" footer="0"/>
  <pageSetup paperSize="9" orientation="landscape" horizontalDpi="4294967292" verticalDpi="4294967292" r:id="rId6"/>
  <legacyDrawing r:id="rId7"/>
  <extLst xmlns:x14="http://schemas.microsoft.com/office/spreadsheetml/2009/9/main">
    <ext uri="{CCE6A557-97BC-4b89-ADB6-D9C93CAAB3DF}">
      <x14:dataValidations xmlns:xm="http://schemas.microsoft.com/office/excel/2006/main" count="6">
        <x14:dataValidation type="list" allowBlank="1" showInputMessage="1" showErrorMessage="1">
          <x14:formula1>
            <xm:f>'5. Demand Forecast Inputs'!$C$72:$C$78</xm:f>
          </x14:formula1>
          <xm:sqref>C12</xm:sqref>
        </x14:dataValidation>
        <x14:dataValidation type="list" allowBlank="1" showInputMessage="1" showErrorMessage="1">
          <x14:formula1>
            <xm:f>'3. General Model Inputs'!$B$48:$B$51</xm:f>
          </x14:formula1>
          <xm:sqref>C16:E16</xm:sqref>
        </x14:dataValidation>
        <x14:dataValidation type="list" allowBlank="1" showInputMessage="1" showErrorMessage="1">
          <x14:formula1>
            <xm:f>'6. Prior Price Year Adjustment '!$B$22:$B$23</xm:f>
          </x14:formula1>
          <xm:sqref>D22:E22</xm:sqref>
        </x14:dataValidation>
        <x14:dataValidation type="list" allowBlank="1" showInputMessage="1" showErrorMessage="1">
          <x14:formula1>
            <xm:f>'10. Water-Existing Assets Input'!$Q$5:$R$5</xm:f>
          </x14:formula1>
          <xm:sqref>C18:E18</xm:sqref>
        </x14:dataValidation>
        <x14:dataValidation type="list" allowBlank="1" showInputMessage="1" showErrorMessage="1">
          <x14:formula1>
            <xm:f>'10. Water-Existing Assets Input'!$L$5:$O$5</xm:f>
          </x14:formula1>
          <xm:sqref>C19:E19</xm:sqref>
        </x14:dataValidation>
        <x14:dataValidation type="list" allowBlank="1" showInputMessage="1" showErrorMessage="1">
          <x14:formula1>
            <xm:f>'11. Water - Capex Input'!$Q$163:$R$163</xm:f>
          </x14:formula1>
          <xm:sqref>D20:E21</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sheetPr codeName="Sheet2"/>
  <dimension ref="A1:AG104"/>
  <sheetViews>
    <sheetView zoomScaleNormal="100" workbookViewId="0">
      <pane ySplit="4" topLeftCell="A5" activePane="bottomLeft" state="frozen"/>
      <selection pane="bottomLeft" activeCell="B28" sqref="B28"/>
    </sheetView>
  </sheetViews>
  <sheetFormatPr defaultColWidth="7.77734375" defaultRowHeight="15"/>
  <cols>
    <col min="1" max="1" width="31.21875" style="35" customWidth="1"/>
    <col min="2" max="2" width="43.6640625" style="2" customWidth="1"/>
    <col min="3" max="3" width="16.77734375" style="2" customWidth="1"/>
    <col min="4" max="4" width="8.88671875" style="2" customWidth="1"/>
    <col min="5" max="5" width="11.5546875" style="2" customWidth="1"/>
    <col min="6" max="6" width="12.88671875" style="2" customWidth="1"/>
    <col min="7" max="7" width="10.44140625" style="2" customWidth="1"/>
    <col min="8" max="8" width="13.109375" style="2" customWidth="1"/>
    <col min="9" max="9" width="13.33203125" style="2" customWidth="1"/>
    <col min="10" max="16384" width="7.77734375" style="2"/>
  </cols>
  <sheetData>
    <row r="1" spans="1:33" s="6" customFormat="1" ht="21" customHeight="1">
      <c r="A1" s="1" t="s">
        <v>115</v>
      </c>
    </row>
    <row r="2" spans="1:33" ht="18" customHeight="1">
      <c r="A2" s="3" t="str">
        <f ca="1">MID(CELL("filename",A1),FIND("]",CELL("filename",A1))+1,LEN(CELL("filename",A1))-FIND("]",CELL("filename",A1)))</f>
        <v>3. General Model Inputs</v>
      </c>
      <c r="B2" s="1"/>
      <c r="C2" s="1"/>
      <c r="D2" s="1"/>
      <c r="E2" s="1"/>
      <c r="F2" s="1"/>
      <c r="G2" s="1"/>
      <c r="H2" s="1"/>
      <c r="I2" s="1"/>
    </row>
    <row r="3" spans="1:33" s="6" customFormat="1">
      <c r="A3" s="35"/>
      <c r="B3" s="36"/>
      <c r="C3" s="16" t="s">
        <v>0</v>
      </c>
      <c r="D3" s="17">
        <v>0</v>
      </c>
      <c r="E3" s="17">
        <v>1</v>
      </c>
      <c r="F3" s="17">
        <v>2</v>
      </c>
      <c r="G3" s="17">
        <v>3</v>
      </c>
      <c r="H3" s="17">
        <v>4</v>
      </c>
      <c r="I3" s="17">
        <v>5</v>
      </c>
      <c r="J3" s="2"/>
      <c r="K3" s="2"/>
      <c r="L3" s="2"/>
      <c r="M3" s="2"/>
      <c r="N3" s="2"/>
      <c r="O3" s="2"/>
      <c r="P3" s="2"/>
      <c r="Q3" s="2"/>
      <c r="R3" s="2"/>
      <c r="S3" s="2"/>
      <c r="T3" s="2"/>
      <c r="U3" s="2"/>
      <c r="V3" s="2"/>
      <c r="W3" s="2"/>
      <c r="X3" s="2"/>
      <c r="Y3" s="2"/>
      <c r="Z3" s="2"/>
      <c r="AA3" s="2"/>
      <c r="AB3" s="2"/>
      <c r="AC3" s="2"/>
      <c r="AD3" s="2"/>
      <c r="AE3" s="2"/>
      <c r="AF3" s="2"/>
      <c r="AG3" s="2"/>
    </row>
    <row r="4" spans="1:33" s="6" customFormat="1">
      <c r="A4" s="35"/>
      <c r="B4" s="36"/>
      <c r="C4" s="18" t="s">
        <v>1</v>
      </c>
      <c r="D4" s="19" t="s">
        <v>162</v>
      </c>
      <c r="E4" s="19" t="s">
        <v>10</v>
      </c>
      <c r="F4" s="19" t="s">
        <v>11</v>
      </c>
      <c r="G4" s="19" t="s">
        <v>2</v>
      </c>
      <c r="H4" s="19" t="s">
        <v>3</v>
      </c>
      <c r="I4" s="19" t="s">
        <v>4</v>
      </c>
      <c r="J4" s="2"/>
      <c r="K4" s="2"/>
      <c r="L4" s="2"/>
      <c r="M4" s="2"/>
      <c r="N4" s="2"/>
      <c r="O4" s="2"/>
      <c r="P4" s="2"/>
      <c r="Q4" s="2"/>
      <c r="R4" s="2"/>
      <c r="S4" s="2"/>
      <c r="T4" s="2"/>
      <c r="U4" s="2"/>
      <c r="V4" s="2"/>
      <c r="W4" s="2"/>
      <c r="X4" s="2"/>
      <c r="Y4" s="2"/>
      <c r="Z4" s="2"/>
      <c r="AA4" s="2"/>
      <c r="AB4" s="2"/>
      <c r="AC4" s="2"/>
      <c r="AD4" s="2"/>
      <c r="AE4" s="2"/>
      <c r="AF4" s="2"/>
      <c r="AG4" s="2"/>
    </row>
    <row r="5" spans="1:33" s="6" customFormat="1">
      <c r="A5" s="35"/>
      <c r="B5" s="2" t="s">
        <v>302</v>
      </c>
      <c r="C5" s="5" t="s">
        <v>104</v>
      </c>
      <c r="D5" s="2"/>
      <c r="E5" s="114">
        <v>2.5000000000000001E-2</v>
      </c>
      <c r="F5" s="114">
        <f>E5</f>
        <v>2.5000000000000001E-2</v>
      </c>
      <c r="G5" s="114">
        <f t="shared" ref="G5" si="0">F5</f>
        <v>2.5000000000000001E-2</v>
      </c>
      <c r="H5" s="114">
        <f t="shared" ref="H5" si="1">G5</f>
        <v>2.5000000000000001E-2</v>
      </c>
      <c r="I5" s="114">
        <f t="shared" ref="I5" si="2">H5</f>
        <v>2.5000000000000001E-2</v>
      </c>
      <c r="J5" s="2"/>
      <c r="K5" s="2"/>
      <c r="L5" s="2"/>
      <c r="M5" s="2"/>
      <c r="N5" s="2"/>
      <c r="O5" s="2"/>
      <c r="P5" s="2"/>
      <c r="Q5" s="2"/>
      <c r="R5" s="2"/>
      <c r="S5" s="2"/>
      <c r="T5" s="2"/>
      <c r="U5" s="2"/>
      <c r="V5" s="2"/>
      <c r="W5" s="2"/>
      <c r="X5" s="2"/>
      <c r="Y5" s="2"/>
      <c r="Z5" s="2"/>
      <c r="AA5" s="2"/>
      <c r="AB5" s="2"/>
      <c r="AC5" s="2"/>
      <c r="AD5" s="2"/>
      <c r="AE5" s="2"/>
      <c r="AF5" s="2"/>
      <c r="AG5" s="2"/>
    </row>
    <row r="7" spans="1:33" ht="15.75">
      <c r="A7" s="35">
        <f>'2. Notes and Assumptions'!B25</f>
        <v>4</v>
      </c>
      <c r="B7" s="22" t="s">
        <v>163</v>
      </c>
      <c r="C7" s="98" t="str">
        <f>'2. Notes and Assumptions'!C13</f>
        <v>Panel Draft Decision</v>
      </c>
      <c r="D7" s="99"/>
    </row>
    <row r="8" spans="1:33">
      <c r="B8" s="2" t="s">
        <v>303</v>
      </c>
      <c r="C8" s="5" t="s">
        <v>104</v>
      </c>
      <c r="E8" s="23">
        <f t="shared" ref="E8:I13" ca="1" si="3">OFFSET(E16,VLOOKUP($C$7,$B$48:$C$51,2,FALSE),0)</f>
        <v>2.5000000000000001E-2</v>
      </c>
      <c r="F8" s="23">
        <f t="shared" ca="1" si="3"/>
        <v>2.5000000000000001E-2</v>
      </c>
      <c r="G8" s="23">
        <f t="shared" ca="1" si="3"/>
        <v>2.5000000000000001E-2</v>
      </c>
      <c r="H8" s="23">
        <f t="shared" ca="1" si="3"/>
        <v>2.5000000000000001E-2</v>
      </c>
      <c r="I8" s="23">
        <f t="shared" ca="1" si="3"/>
        <v>2.5000000000000001E-2</v>
      </c>
    </row>
    <row r="9" spans="1:33">
      <c r="B9" s="2" t="s">
        <v>25</v>
      </c>
      <c r="C9" s="5" t="s">
        <v>104</v>
      </c>
      <c r="E9" s="23">
        <f t="shared" ca="1" si="3"/>
        <v>7.1999999999999995E-2</v>
      </c>
      <c r="F9" s="23">
        <f t="shared" ca="1" si="3"/>
        <v>7.1999999999999995E-2</v>
      </c>
      <c r="G9" s="23">
        <f t="shared" ca="1" si="3"/>
        <v>7.1999999999999995E-2</v>
      </c>
      <c r="H9" s="23">
        <f t="shared" ca="1" si="3"/>
        <v>7.1999999999999995E-2</v>
      </c>
      <c r="I9" s="23">
        <f t="shared" ca="1" si="3"/>
        <v>7.1999999999999995E-2</v>
      </c>
    </row>
    <row r="10" spans="1:33">
      <c r="B10" s="2" t="s">
        <v>23</v>
      </c>
      <c r="C10" s="5" t="s">
        <v>104</v>
      </c>
      <c r="E10" s="23">
        <f t="shared" ca="1" si="3"/>
        <v>6.4750000000000002E-2</v>
      </c>
      <c r="F10" s="23">
        <f t="shared" ca="1" si="3"/>
        <v>6.4750000000000002E-2</v>
      </c>
      <c r="G10" s="23">
        <f t="shared" ca="1" si="3"/>
        <v>6.4750000000000002E-2</v>
      </c>
      <c r="H10" s="23">
        <f t="shared" ca="1" si="3"/>
        <v>6.4750000000000002E-2</v>
      </c>
      <c r="I10" s="23">
        <f t="shared" ca="1" si="3"/>
        <v>6.4750000000000002E-2</v>
      </c>
    </row>
    <row r="11" spans="1:33">
      <c r="B11" s="2" t="s">
        <v>453</v>
      </c>
      <c r="C11" s="5" t="s">
        <v>104</v>
      </c>
      <c r="E11" s="24">
        <f t="shared" ca="1" si="3"/>
        <v>0.3</v>
      </c>
      <c r="F11" s="24">
        <f t="shared" ca="1" si="3"/>
        <v>0.3</v>
      </c>
      <c r="G11" s="24">
        <f t="shared" ca="1" si="3"/>
        <v>0.3</v>
      </c>
      <c r="H11" s="24">
        <f t="shared" ca="1" si="3"/>
        <v>0.3</v>
      </c>
      <c r="I11" s="24">
        <f t="shared" ca="1" si="3"/>
        <v>0.3</v>
      </c>
    </row>
    <row r="12" spans="1:33">
      <c r="B12" s="2" t="s">
        <v>24</v>
      </c>
      <c r="C12" s="5" t="s">
        <v>104</v>
      </c>
      <c r="E12" s="24">
        <f t="shared" ca="1" si="3"/>
        <v>0.6</v>
      </c>
      <c r="F12" s="24">
        <f t="shared" ca="1" si="3"/>
        <v>0.6</v>
      </c>
      <c r="G12" s="24">
        <f t="shared" ca="1" si="3"/>
        <v>0.6</v>
      </c>
      <c r="H12" s="24">
        <f t="shared" ca="1" si="3"/>
        <v>0.6</v>
      </c>
      <c r="I12" s="24">
        <f t="shared" ca="1" si="3"/>
        <v>0.6</v>
      </c>
    </row>
    <row r="13" spans="1:33">
      <c r="B13" s="2" t="s">
        <v>64</v>
      </c>
      <c r="E13" s="25">
        <f t="shared" ca="1" si="3"/>
        <v>0.5</v>
      </c>
      <c r="F13" s="25">
        <f t="shared" ca="1" si="3"/>
        <v>0.5</v>
      </c>
      <c r="G13" s="25">
        <f t="shared" ca="1" si="3"/>
        <v>0.5</v>
      </c>
      <c r="H13" s="25">
        <f t="shared" ca="1" si="3"/>
        <v>0.5</v>
      </c>
      <c r="I13" s="25">
        <f t="shared" ca="1" si="3"/>
        <v>0.5</v>
      </c>
    </row>
    <row r="14" spans="1:33">
      <c r="E14" s="25"/>
      <c r="F14" s="25"/>
      <c r="G14" s="25"/>
      <c r="H14" s="25"/>
      <c r="I14" s="25"/>
    </row>
    <row r="15" spans="1:33" ht="15.75">
      <c r="A15" s="35">
        <f>'2. Notes and Assumptions'!B25</f>
        <v>4</v>
      </c>
      <c r="B15" s="10" t="s">
        <v>292</v>
      </c>
      <c r="C15" s="99" t="s">
        <v>246</v>
      </c>
      <c r="D15" s="99"/>
    </row>
    <row r="16" spans="1:33">
      <c r="B16" s="2" t="s">
        <v>303</v>
      </c>
      <c r="C16" s="5" t="s">
        <v>104</v>
      </c>
      <c r="E16" s="114">
        <v>2.5000000000000001E-2</v>
      </c>
      <c r="F16" s="114">
        <v>2.5000000000000001E-2</v>
      </c>
      <c r="G16" s="114">
        <v>2.5000000000000001E-2</v>
      </c>
      <c r="H16" s="114">
        <v>2.5000000000000001E-2</v>
      </c>
      <c r="I16" s="114">
        <v>2.5000000000000001E-2</v>
      </c>
    </row>
    <row r="17" spans="2:9">
      <c r="B17" s="2" t="s">
        <v>25</v>
      </c>
      <c r="C17" s="5" t="s">
        <v>104</v>
      </c>
      <c r="E17" s="115">
        <v>7.1999999999999995E-2</v>
      </c>
      <c r="F17" s="115">
        <v>7.1999999999999995E-2</v>
      </c>
      <c r="G17" s="115">
        <v>7.1999999999999995E-2</v>
      </c>
      <c r="H17" s="115">
        <v>7.1999999999999995E-2</v>
      </c>
      <c r="I17" s="115">
        <v>7.1999999999999995E-2</v>
      </c>
    </row>
    <row r="18" spans="2:9">
      <c r="B18" s="2" t="s">
        <v>23</v>
      </c>
      <c r="C18" s="5" t="s">
        <v>104</v>
      </c>
      <c r="E18" s="115">
        <v>6.4750000000000002E-2</v>
      </c>
      <c r="F18" s="115">
        <v>6.4750000000000002E-2</v>
      </c>
      <c r="G18" s="115">
        <v>6.4750000000000002E-2</v>
      </c>
      <c r="H18" s="115">
        <v>6.4750000000000002E-2</v>
      </c>
      <c r="I18" s="115">
        <v>6.4750000000000002E-2</v>
      </c>
    </row>
    <row r="19" spans="2:9">
      <c r="B19" s="2" t="s">
        <v>453</v>
      </c>
      <c r="C19" s="5" t="s">
        <v>104</v>
      </c>
      <c r="E19" s="116">
        <v>0.3</v>
      </c>
      <c r="F19" s="116">
        <v>0.3</v>
      </c>
      <c r="G19" s="116">
        <v>0.3</v>
      </c>
      <c r="H19" s="116">
        <v>0.3</v>
      </c>
      <c r="I19" s="116">
        <v>0.3</v>
      </c>
    </row>
    <row r="20" spans="2:9">
      <c r="B20" s="2" t="s">
        <v>24</v>
      </c>
      <c r="C20" s="5" t="s">
        <v>104</v>
      </c>
      <c r="E20" s="116">
        <v>0.6</v>
      </c>
      <c r="F20" s="116">
        <f>E20</f>
        <v>0.6</v>
      </c>
      <c r="G20" s="116">
        <f t="shared" ref="G20" si="4">F20</f>
        <v>0.6</v>
      </c>
      <c r="H20" s="116">
        <f t="shared" ref="H20" si="5">G20</f>
        <v>0.6</v>
      </c>
      <c r="I20" s="116">
        <f t="shared" ref="I20" si="6">H20</f>
        <v>0.6</v>
      </c>
    </row>
    <row r="21" spans="2:9">
      <c r="B21" s="2" t="s">
        <v>64</v>
      </c>
      <c r="E21" s="117">
        <v>0.5</v>
      </c>
      <c r="F21" s="117">
        <v>0.5</v>
      </c>
      <c r="G21" s="117">
        <v>0.5</v>
      </c>
      <c r="H21" s="117">
        <v>0.5</v>
      </c>
      <c r="I21" s="117">
        <v>0.5</v>
      </c>
    </row>
    <row r="23" spans="2:9" ht="15.75">
      <c r="B23" s="10" t="s">
        <v>293</v>
      </c>
      <c r="C23" s="149" t="s">
        <v>294</v>
      </c>
      <c r="D23" s="99"/>
    </row>
    <row r="24" spans="2:9">
      <c r="B24" s="2" t="s">
        <v>303</v>
      </c>
      <c r="C24" s="5" t="s">
        <v>104</v>
      </c>
      <c r="E24" s="114">
        <v>2.5000000000000001E-2</v>
      </c>
      <c r="F24" s="114">
        <f>E24</f>
        <v>2.5000000000000001E-2</v>
      </c>
      <c r="G24" s="114">
        <f t="shared" ref="G24" si="7">F24</f>
        <v>2.5000000000000001E-2</v>
      </c>
      <c r="H24" s="114">
        <f t="shared" ref="H24" si="8">G24</f>
        <v>2.5000000000000001E-2</v>
      </c>
      <c r="I24" s="114">
        <f t="shared" ref="I24" si="9">H24</f>
        <v>2.5000000000000001E-2</v>
      </c>
    </row>
    <row r="25" spans="2:9">
      <c r="B25" s="2" t="s">
        <v>25</v>
      </c>
      <c r="C25" s="5" t="s">
        <v>104</v>
      </c>
      <c r="E25" s="115">
        <v>8.9499999999999996E-2</v>
      </c>
      <c r="F25" s="115">
        <v>8.9499999999999996E-2</v>
      </c>
      <c r="G25" s="115">
        <v>8.9499999999999996E-2</v>
      </c>
      <c r="H25" s="115">
        <v>8.9499999999999996E-2</v>
      </c>
      <c r="I25" s="115">
        <v>8.9499999999999996E-2</v>
      </c>
    </row>
    <row r="26" spans="2:9">
      <c r="B26" s="2" t="s">
        <v>23</v>
      </c>
      <c r="C26" s="5" t="s">
        <v>104</v>
      </c>
      <c r="E26" s="115">
        <v>7.8289999999999998E-2</v>
      </c>
      <c r="F26" s="115">
        <v>7.8289999999999998E-2</v>
      </c>
      <c r="G26" s="115">
        <v>7.8289999999999998E-2</v>
      </c>
      <c r="H26" s="115">
        <v>7.8289999999999998E-2</v>
      </c>
      <c r="I26" s="115">
        <v>7.8289999999999998E-2</v>
      </c>
    </row>
    <row r="27" spans="2:9">
      <c r="B27" s="2" t="s">
        <v>453</v>
      </c>
      <c r="C27" s="5" t="s">
        <v>104</v>
      </c>
      <c r="E27" s="116">
        <v>0.3</v>
      </c>
      <c r="F27" s="116">
        <f>E27</f>
        <v>0.3</v>
      </c>
      <c r="G27" s="116">
        <f t="shared" ref="G27:G28" si="10">F27</f>
        <v>0.3</v>
      </c>
      <c r="H27" s="116">
        <f t="shared" ref="H27:H28" si="11">G27</f>
        <v>0.3</v>
      </c>
      <c r="I27" s="116">
        <f t="shared" ref="I27:I28" si="12">H27</f>
        <v>0.3</v>
      </c>
    </row>
    <row r="28" spans="2:9">
      <c r="B28" s="2" t="s">
        <v>24</v>
      </c>
      <c r="C28" s="5" t="s">
        <v>104</v>
      </c>
      <c r="E28" s="116">
        <v>0.6</v>
      </c>
      <c r="F28" s="116">
        <f>E28</f>
        <v>0.6</v>
      </c>
      <c r="G28" s="116">
        <f t="shared" si="10"/>
        <v>0.6</v>
      </c>
      <c r="H28" s="116">
        <f t="shared" si="11"/>
        <v>0.6</v>
      </c>
      <c r="I28" s="116">
        <f t="shared" si="12"/>
        <v>0.6</v>
      </c>
    </row>
    <row r="29" spans="2:9">
      <c r="B29" s="2" t="s">
        <v>64</v>
      </c>
      <c r="C29" s="5"/>
      <c r="E29" s="117">
        <v>0.25</v>
      </c>
      <c r="F29" s="117">
        <v>0.25</v>
      </c>
      <c r="G29" s="117">
        <v>0.25</v>
      </c>
      <c r="H29" s="117">
        <v>0.25</v>
      </c>
      <c r="I29" s="117">
        <v>0.25</v>
      </c>
    </row>
    <row r="31" spans="2:9" ht="15.75">
      <c r="B31" s="10" t="s">
        <v>301</v>
      </c>
      <c r="C31" s="149" t="s">
        <v>208</v>
      </c>
      <c r="D31" s="99"/>
    </row>
    <row r="32" spans="2:9">
      <c r="B32" s="2" t="s">
        <v>303</v>
      </c>
      <c r="C32" s="5" t="s">
        <v>104</v>
      </c>
      <c r="E32" s="114"/>
      <c r="F32" s="114"/>
      <c r="G32" s="114"/>
      <c r="H32" s="114"/>
      <c r="I32" s="114"/>
    </row>
    <row r="33" spans="2:9">
      <c r="B33" s="2" t="s">
        <v>25</v>
      </c>
      <c r="C33" s="5" t="s">
        <v>104</v>
      </c>
      <c r="E33" s="115">
        <v>4.4200000000000003E-2</v>
      </c>
      <c r="F33" s="115">
        <v>4.4200000000000003E-2</v>
      </c>
      <c r="G33" s="115">
        <v>4.4200000000000003E-2</v>
      </c>
      <c r="H33" s="115">
        <v>4.4200000000000003E-2</v>
      </c>
      <c r="I33" s="115">
        <v>4.4200000000000003E-2</v>
      </c>
    </row>
    <row r="34" spans="2:9">
      <c r="B34" s="2" t="s">
        <v>23</v>
      </c>
      <c r="C34" s="5" t="s">
        <v>104</v>
      </c>
      <c r="E34" s="115">
        <v>5.5E-2</v>
      </c>
      <c r="F34" s="115">
        <v>5.5E-2</v>
      </c>
      <c r="G34" s="115">
        <v>5.5E-2</v>
      </c>
      <c r="H34" s="115">
        <v>5.5E-2</v>
      </c>
      <c r="I34" s="115">
        <v>5.5E-2</v>
      </c>
    </row>
    <row r="35" spans="2:9">
      <c r="B35" s="2" t="s">
        <v>453</v>
      </c>
      <c r="C35" s="5" t="s">
        <v>104</v>
      </c>
      <c r="E35" s="116"/>
      <c r="F35" s="116"/>
      <c r="G35" s="116"/>
      <c r="H35" s="116"/>
      <c r="I35" s="116"/>
    </row>
    <row r="36" spans="2:9">
      <c r="B36" s="2" t="s">
        <v>24</v>
      </c>
      <c r="C36" s="5" t="s">
        <v>104</v>
      </c>
      <c r="E36" s="116">
        <v>0.6</v>
      </c>
      <c r="F36" s="116">
        <f>E36</f>
        <v>0.6</v>
      </c>
      <c r="G36" s="116">
        <f t="shared" ref="G36" si="13">F36</f>
        <v>0.6</v>
      </c>
      <c r="H36" s="116">
        <f t="shared" ref="H36" si="14">G36</f>
        <v>0.6</v>
      </c>
      <c r="I36" s="116">
        <f t="shared" ref="I36" si="15">H36</f>
        <v>0.6</v>
      </c>
    </row>
    <row r="37" spans="2:9">
      <c r="B37" s="2" t="s">
        <v>64</v>
      </c>
      <c r="E37" s="117">
        <v>0.5</v>
      </c>
      <c r="F37" s="117">
        <v>0.5</v>
      </c>
      <c r="G37" s="117">
        <v>0.5</v>
      </c>
      <c r="H37" s="117">
        <v>0.5</v>
      </c>
      <c r="I37" s="117">
        <v>0.5</v>
      </c>
    </row>
    <row r="39" spans="2:9" ht="15.75">
      <c r="B39" s="10" t="s">
        <v>475</v>
      </c>
      <c r="C39" s="99" t="s">
        <v>384</v>
      </c>
      <c r="D39" s="99"/>
    </row>
    <row r="40" spans="2:9">
      <c r="B40" s="2" t="s">
        <v>303</v>
      </c>
      <c r="C40" s="5" t="s">
        <v>104</v>
      </c>
      <c r="E40" s="114">
        <v>2.5000000000000001E-2</v>
      </c>
      <c r="F40" s="114">
        <v>2.5000000000000001E-2</v>
      </c>
      <c r="G40" s="114">
        <v>2.5000000000000001E-2</v>
      </c>
      <c r="H40" s="114">
        <v>2.5000000000000001E-2</v>
      </c>
      <c r="I40" s="114">
        <v>2.5000000000000001E-2</v>
      </c>
    </row>
    <row r="41" spans="2:9">
      <c r="B41" s="2" t="s">
        <v>25</v>
      </c>
      <c r="C41" s="5" t="s">
        <v>104</v>
      </c>
      <c r="E41" s="115">
        <v>7.7799999999999994E-2</v>
      </c>
      <c r="F41" s="115">
        <v>7.7799999999999994E-2</v>
      </c>
      <c r="G41" s="115">
        <v>7.7799999999999994E-2</v>
      </c>
      <c r="H41" s="115">
        <v>7.7799999999999994E-2</v>
      </c>
      <c r="I41" s="115">
        <v>7.7799999999999994E-2</v>
      </c>
    </row>
    <row r="42" spans="2:9">
      <c r="B42" s="2" t="s">
        <v>23</v>
      </c>
      <c r="C42" s="5" t="s">
        <v>104</v>
      </c>
      <c r="E42" s="115">
        <v>6.4750000000000002E-2</v>
      </c>
      <c r="F42" s="115">
        <v>6.4750000000000002E-2</v>
      </c>
      <c r="G42" s="115">
        <v>6.4750000000000002E-2</v>
      </c>
      <c r="H42" s="115">
        <v>6.4750000000000002E-2</v>
      </c>
      <c r="I42" s="115">
        <v>6.4750000000000002E-2</v>
      </c>
    </row>
    <row r="43" spans="2:9">
      <c r="B43" s="2" t="s">
        <v>453</v>
      </c>
      <c r="C43" s="5" t="s">
        <v>104</v>
      </c>
      <c r="E43" s="116">
        <v>0.3</v>
      </c>
      <c r="F43" s="116">
        <v>0.3</v>
      </c>
      <c r="G43" s="116">
        <v>0.3</v>
      </c>
      <c r="H43" s="116">
        <v>0.3</v>
      </c>
      <c r="I43" s="116">
        <v>0.3</v>
      </c>
    </row>
    <row r="44" spans="2:9">
      <c r="B44" s="2" t="s">
        <v>24</v>
      </c>
      <c r="C44" s="5" t="s">
        <v>104</v>
      </c>
      <c r="E44" s="116">
        <v>0.6</v>
      </c>
      <c r="F44" s="116">
        <v>0.6</v>
      </c>
      <c r="G44" s="116">
        <v>0.6</v>
      </c>
      <c r="H44" s="116">
        <v>0.6</v>
      </c>
      <c r="I44" s="116">
        <v>0.6</v>
      </c>
    </row>
    <row r="45" spans="2:9">
      <c r="B45" s="2" t="s">
        <v>64</v>
      </c>
      <c r="E45" s="117">
        <v>0.25</v>
      </c>
      <c r="F45" s="117">
        <v>0.25</v>
      </c>
      <c r="G45" s="117">
        <v>0.25</v>
      </c>
      <c r="H45" s="117">
        <v>0.25</v>
      </c>
      <c r="I45" s="117">
        <v>0.25</v>
      </c>
    </row>
    <row r="47" spans="2:9" ht="15.75">
      <c r="B47" s="26" t="s">
        <v>202</v>
      </c>
      <c r="C47" s="27" t="s">
        <v>211</v>
      </c>
    </row>
    <row r="48" spans="2:9">
      <c r="B48" s="28" t="str">
        <f>C15</f>
        <v>Panel Draft Decision</v>
      </c>
      <c r="C48" s="147">
        <v>0</v>
      </c>
    </row>
    <row r="49" spans="1:9">
      <c r="B49" s="28" t="str">
        <f>C23</f>
        <v>ACTEW SOFC</v>
      </c>
      <c r="C49" s="147">
        <v>10</v>
      </c>
    </row>
    <row r="50" spans="1:9">
      <c r="B50" s="28" t="str">
        <f>C31</f>
        <v>ICRC</v>
      </c>
      <c r="C50" s="147">
        <v>20</v>
      </c>
    </row>
    <row r="51" spans="1:9">
      <c r="B51" s="29" t="str">
        <f>C39</f>
        <v>ACTEW Feb 2015</v>
      </c>
      <c r="C51" s="148">
        <v>30</v>
      </c>
    </row>
    <row r="53" spans="1:9" ht="30" customHeight="1">
      <c r="B53" s="145" t="s">
        <v>169</v>
      </c>
      <c r="C53" s="5" t="s">
        <v>104</v>
      </c>
      <c r="D53" s="116">
        <v>0.5</v>
      </c>
    </row>
    <row r="54" spans="1:9">
      <c r="C54" s="5"/>
      <c r="E54" s="30"/>
      <c r="F54" s="30"/>
      <c r="G54" s="30"/>
      <c r="H54" s="30"/>
      <c r="I54" s="30"/>
    </row>
    <row r="55" spans="1:9" ht="15.75">
      <c r="A55" s="35">
        <f>'2. Notes and Assumptions'!B26</f>
        <v>5</v>
      </c>
      <c r="B55" s="10" t="s">
        <v>26</v>
      </c>
      <c r="C55" s="5"/>
      <c r="E55" s="30"/>
      <c r="F55" s="30"/>
      <c r="G55" s="30"/>
      <c r="H55" s="30"/>
      <c r="I55" s="30"/>
    </row>
    <row r="56" spans="1:9">
      <c r="B56" s="2" t="s">
        <v>44</v>
      </c>
      <c r="C56" s="5" t="s">
        <v>106</v>
      </c>
      <c r="E56" s="121">
        <v>0</v>
      </c>
      <c r="F56" s="30"/>
      <c r="G56" s="30"/>
      <c r="H56" s="30"/>
      <c r="I56" s="30"/>
    </row>
    <row r="57" spans="1:9">
      <c r="B57" s="2" t="s">
        <v>45</v>
      </c>
      <c r="C57" s="5" t="s">
        <v>106</v>
      </c>
      <c r="E57" s="121">
        <v>0</v>
      </c>
      <c r="F57" s="30"/>
      <c r="G57" s="30"/>
      <c r="H57" s="30"/>
      <c r="I57" s="30"/>
    </row>
    <row r="58" spans="1:9">
      <c r="C58" s="5"/>
      <c r="E58" s="30"/>
      <c r="F58" s="30"/>
      <c r="G58" s="30"/>
      <c r="H58" s="30"/>
      <c r="I58" s="30"/>
    </row>
    <row r="59" spans="1:9" ht="15.75">
      <c r="A59" s="35">
        <f>'2. Notes and Assumptions'!B55</f>
        <v>32</v>
      </c>
      <c r="B59" s="10" t="s">
        <v>261</v>
      </c>
      <c r="C59" s="5"/>
      <c r="E59" s="30"/>
      <c r="F59" s="30"/>
      <c r="G59" s="30"/>
      <c r="H59" s="30"/>
      <c r="I59" s="30"/>
    </row>
    <row r="60" spans="1:9">
      <c r="B60" s="2" t="s">
        <v>262</v>
      </c>
      <c r="C60" s="5" t="s">
        <v>98</v>
      </c>
      <c r="E60" s="122">
        <v>0.51</v>
      </c>
      <c r="F60" s="122">
        <v>0.54</v>
      </c>
      <c r="G60" s="122">
        <f>F60</f>
        <v>0.54</v>
      </c>
      <c r="H60" s="122">
        <f t="shared" ref="H60:I60" si="16">G60</f>
        <v>0.54</v>
      </c>
      <c r="I60" s="122">
        <f t="shared" si="16"/>
        <v>0.54</v>
      </c>
    </row>
    <row r="61" spans="1:9">
      <c r="B61" s="2" t="s">
        <v>263</v>
      </c>
      <c r="C61" s="5"/>
      <c r="E61" s="122">
        <f>1/0.855</f>
        <v>1.1695906432748537</v>
      </c>
      <c r="F61" s="122">
        <f t="shared" ref="F61:I61" si="17">E61</f>
        <v>1.1695906432748537</v>
      </c>
      <c r="G61" s="122">
        <f t="shared" si="17"/>
        <v>1.1695906432748537</v>
      </c>
      <c r="H61" s="122">
        <f t="shared" si="17"/>
        <v>1.1695906432748537</v>
      </c>
      <c r="I61" s="122">
        <f t="shared" si="17"/>
        <v>1.1695906432748537</v>
      </c>
    </row>
    <row r="62" spans="1:9">
      <c r="B62" s="2" t="s">
        <v>264</v>
      </c>
      <c r="C62" s="5" t="s">
        <v>94</v>
      </c>
      <c r="E62" s="30">
        <f ca="1">SUM('5. Demand Forecast Inputs'!E8:E9)</f>
        <v>41930000</v>
      </c>
      <c r="F62" s="30">
        <f ca="1">SUM('5. Demand Forecast Inputs'!F8:F9)</f>
        <v>43146339</v>
      </c>
      <c r="G62" s="30">
        <f ca="1">SUM('5. Demand Forecast Inputs'!G8:G9)</f>
        <v>43668110</v>
      </c>
      <c r="H62" s="30">
        <f ca="1">SUM('5. Demand Forecast Inputs'!H8:H9)</f>
        <v>44204654</v>
      </c>
      <c r="I62" s="30">
        <f ca="1">SUM('5. Demand Forecast Inputs'!I8:I9)</f>
        <v>44756513</v>
      </c>
    </row>
    <row r="63" spans="1:9">
      <c r="B63" s="2" t="s">
        <v>265</v>
      </c>
      <c r="C63" s="5" t="s">
        <v>94</v>
      </c>
      <c r="E63" s="30">
        <f ca="1">E61*E62</f>
        <v>49040935.672514617</v>
      </c>
      <c r="F63" s="30">
        <f t="shared" ref="F63:I63" ca="1" si="18">F61*F62</f>
        <v>50463554.385964908</v>
      </c>
      <c r="G63" s="30">
        <f t="shared" ca="1" si="18"/>
        <v>51073812.865497075</v>
      </c>
      <c r="H63" s="30">
        <f t="shared" ca="1" si="18"/>
        <v>51701349.707602337</v>
      </c>
      <c r="I63" s="30">
        <f t="shared" ca="1" si="18"/>
        <v>52346798.830409355</v>
      </c>
    </row>
    <row r="64" spans="1:9">
      <c r="B64" s="2" t="s">
        <v>171</v>
      </c>
      <c r="C64" s="5" t="s">
        <v>106</v>
      </c>
      <c r="E64" s="30">
        <f ca="1">E60*E63</f>
        <v>25010877.192982454</v>
      </c>
      <c r="F64" s="30">
        <f t="shared" ref="F64:I64" ca="1" si="19">F60*F63</f>
        <v>27250319.368421052</v>
      </c>
      <c r="G64" s="30">
        <f t="shared" ca="1" si="19"/>
        <v>27579858.947368421</v>
      </c>
      <c r="H64" s="30">
        <f t="shared" ca="1" si="19"/>
        <v>27918728.842105262</v>
      </c>
      <c r="I64" s="30">
        <f t="shared" ca="1" si="19"/>
        <v>28267271.368421055</v>
      </c>
    </row>
    <row r="65" spans="1:9">
      <c r="E65" s="30"/>
      <c r="F65" s="30"/>
      <c r="G65" s="30"/>
      <c r="H65" s="30"/>
      <c r="I65" s="30"/>
    </row>
    <row r="66" spans="1:9" ht="15.75">
      <c r="A66" s="35">
        <f>'2. Notes and Assumptions'!B30</f>
        <v>8</v>
      </c>
      <c r="B66" s="10" t="s">
        <v>170</v>
      </c>
    </row>
    <row r="67" spans="1:9">
      <c r="B67" s="146" t="s">
        <v>44</v>
      </c>
    </row>
    <row r="68" spans="1:9">
      <c r="A68" s="35">
        <f>'2. Notes and Assumptions'!B77</f>
        <v>53</v>
      </c>
      <c r="B68" s="2" t="s">
        <v>173</v>
      </c>
      <c r="C68" s="5" t="s">
        <v>106</v>
      </c>
      <c r="E68" s="121">
        <v>62754266.4339137</v>
      </c>
      <c r="F68" s="121">
        <v>66153513.426585704</v>
      </c>
      <c r="G68" s="121">
        <v>66913296.423709325</v>
      </c>
      <c r="H68" s="121">
        <v>67949423.669840083</v>
      </c>
      <c r="I68" s="121">
        <v>70332265.517655581</v>
      </c>
    </row>
    <row r="69" spans="1:9">
      <c r="B69" s="2" t="s">
        <v>171</v>
      </c>
      <c r="C69" s="5" t="s">
        <v>106</v>
      </c>
      <c r="E69" s="31">
        <f ca="1">E64</f>
        <v>25010877.192982454</v>
      </c>
      <c r="F69" s="31">
        <f t="shared" ref="F69:I69" ca="1" si="20">F64</f>
        <v>27250319.368421052</v>
      </c>
      <c r="G69" s="31">
        <f t="shared" ca="1" si="20"/>
        <v>27579858.947368421</v>
      </c>
      <c r="H69" s="31">
        <f t="shared" ca="1" si="20"/>
        <v>27918728.842105262</v>
      </c>
      <c r="I69" s="31">
        <f t="shared" ca="1" si="20"/>
        <v>28267271.368421055</v>
      </c>
    </row>
    <row r="70" spans="1:9">
      <c r="B70" s="2" t="s">
        <v>172</v>
      </c>
      <c r="C70" s="5" t="s">
        <v>106</v>
      </c>
      <c r="E70" s="121">
        <v>4099999.9999999995</v>
      </c>
      <c r="F70" s="121">
        <v>4517687.4999999991</v>
      </c>
      <c r="G70" s="121">
        <v>4738318.7499999991</v>
      </c>
      <c r="H70" s="121">
        <v>4967158.0078124991</v>
      </c>
      <c r="I70" s="121">
        <v>5091336.9580078106</v>
      </c>
    </row>
    <row r="71" spans="1:9">
      <c r="C71" s="5"/>
      <c r="E71" s="32">
        <f ca="1">SUM(E68:E70)</f>
        <v>91865143.626896158</v>
      </c>
      <c r="F71" s="32">
        <f ca="1">SUM(F68:F70)</f>
        <v>97921520.295006752</v>
      </c>
      <c r="G71" s="32">
        <f ca="1">SUM(G68:G70)</f>
        <v>99231474.121077746</v>
      </c>
      <c r="H71" s="32">
        <f ca="1">SUM(H68:H70)</f>
        <v>100835310.51975784</v>
      </c>
      <c r="I71" s="32">
        <f ca="1">SUM(I68:I70)</f>
        <v>103690873.84408444</v>
      </c>
    </row>
    <row r="72" spans="1:9">
      <c r="B72" s="4" t="s">
        <v>45</v>
      </c>
      <c r="C72" s="5"/>
      <c r="E72" s="33"/>
      <c r="F72" s="33"/>
      <c r="G72" s="33"/>
      <c r="H72" s="33"/>
      <c r="I72" s="33"/>
    </row>
    <row r="73" spans="1:9">
      <c r="B73" s="2" t="s">
        <v>173</v>
      </c>
      <c r="C73" s="5" t="s">
        <v>106</v>
      </c>
      <c r="E73" s="121">
        <v>67701779.882242531</v>
      </c>
      <c r="F73" s="121">
        <v>69285151.701689228</v>
      </c>
      <c r="G73" s="121">
        <v>70636748.305032358</v>
      </c>
      <c r="H73" s="121">
        <v>73325249.706969082</v>
      </c>
      <c r="I73" s="121">
        <v>76269848.256447524</v>
      </c>
    </row>
    <row r="74" spans="1:9">
      <c r="B74" s="2" t="s">
        <v>172</v>
      </c>
      <c r="C74" s="5" t="s">
        <v>106</v>
      </c>
      <c r="E74" s="121">
        <v>3390031.9876215593</v>
      </c>
      <c r="F74" s="121">
        <v>3721492.3652112577</v>
      </c>
      <c r="G74" s="121">
        <v>3890820.26782837</v>
      </c>
      <c r="H74" s="121">
        <v>4067852.5900145611</v>
      </c>
      <c r="I74" s="121">
        <v>4252939.8828602228</v>
      </c>
    </row>
    <row r="75" spans="1:9">
      <c r="C75" s="5"/>
      <c r="E75" s="32">
        <f>SUM(E73:E74)</f>
        <v>71091811.869864091</v>
      </c>
      <c r="F75" s="32">
        <f t="shared" ref="F75:I75" si="21">SUM(F73:F74)</f>
        <v>73006644.066900492</v>
      </c>
      <c r="G75" s="32">
        <f t="shared" si="21"/>
        <v>74527568.572860733</v>
      </c>
      <c r="H75" s="32">
        <f t="shared" si="21"/>
        <v>77393102.296983644</v>
      </c>
      <c r="I75" s="32">
        <f t="shared" si="21"/>
        <v>80522788.139307752</v>
      </c>
    </row>
    <row r="76" spans="1:9" ht="15.75">
      <c r="A76" s="35">
        <f>'2. Notes and Assumptions'!B31</f>
        <v>9</v>
      </c>
      <c r="B76" s="10" t="s">
        <v>33</v>
      </c>
      <c r="C76" s="5"/>
    </row>
    <row r="77" spans="1:9">
      <c r="B77" s="4" t="s">
        <v>44</v>
      </c>
      <c r="C77" s="5"/>
    </row>
    <row r="78" spans="1:9">
      <c r="A78" s="35">
        <f>'2. Notes and Assumptions'!B70</f>
        <v>46</v>
      </c>
      <c r="B78" s="2" t="s">
        <v>174</v>
      </c>
      <c r="C78" s="5" t="s">
        <v>106</v>
      </c>
      <c r="E78" s="94"/>
      <c r="F78" s="94"/>
      <c r="G78" s="94"/>
      <c r="H78" s="94"/>
      <c r="I78" s="94"/>
    </row>
    <row r="79" spans="1:9">
      <c r="B79" s="2" t="s">
        <v>454</v>
      </c>
      <c r="C79" s="5" t="s">
        <v>106</v>
      </c>
      <c r="E79" s="94"/>
      <c r="F79" s="94"/>
      <c r="G79" s="94"/>
      <c r="H79" s="94"/>
      <c r="I79" s="94"/>
    </row>
    <row r="80" spans="1:9" ht="15.75">
      <c r="B80" s="10"/>
      <c r="C80" s="5"/>
      <c r="E80" s="32">
        <v>-14454573.489899399</v>
      </c>
      <c r="F80" s="32">
        <v>-14816669.18</v>
      </c>
      <c r="G80" s="32">
        <v>-15187861.782024</v>
      </c>
      <c r="H80" s="32">
        <v>-15568381.431086101</v>
      </c>
      <c r="I80" s="32">
        <v>-15958464.177861901</v>
      </c>
    </row>
    <row r="81" spans="1:9">
      <c r="B81" s="4" t="s">
        <v>45</v>
      </c>
      <c r="C81" s="5"/>
      <c r="E81" s="6"/>
      <c r="F81" s="6"/>
      <c r="G81" s="6"/>
      <c r="H81" s="6"/>
      <c r="I81" s="6"/>
    </row>
    <row r="82" spans="1:9">
      <c r="B82" s="2" t="s">
        <v>174</v>
      </c>
      <c r="C82" s="5" t="s">
        <v>106</v>
      </c>
      <c r="E82" s="94"/>
      <c r="F82" s="94"/>
      <c r="G82" s="94"/>
      <c r="H82" s="94"/>
      <c r="I82" s="94"/>
    </row>
    <row r="83" spans="1:9">
      <c r="B83" s="2" t="s">
        <v>33</v>
      </c>
      <c r="C83" s="5" t="s">
        <v>106</v>
      </c>
      <c r="E83" s="94"/>
      <c r="F83" s="94"/>
      <c r="G83" s="94"/>
      <c r="H83" s="94"/>
      <c r="I83" s="94"/>
    </row>
    <row r="84" spans="1:9">
      <c r="C84" s="5" t="s">
        <v>106</v>
      </c>
      <c r="E84" s="32">
        <v>-10352179.067311149</v>
      </c>
      <c r="F84" s="32">
        <v>-10612939.552010439</v>
      </c>
      <c r="G84" s="32">
        <v>-10880330.541284157</v>
      </c>
      <c r="H84" s="32">
        <v>-11154524.1528167</v>
      </c>
      <c r="I84" s="32">
        <v>-11435697.169473583</v>
      </c>
    </row>
    <row r="85" spans="1:9">
      <c r="C85" s="5"/>
      <c r="E85" s="95"/>
      <c r="F85" s="95"/>
      <c r="G85" s="95"/>
      <c r="H85" s="95"/>
      <c r="I85" s="95"/>
    </row>
    <row r="86" spans="1:9" ht="15.75">
      <c r="A86" s="35">
        <f>'2. Notes and Assumptions'!B28</f>
        <v>7</v>
      </c>
      <c r="B86" s="10" t="s">
        <v>158</v>
      </c>
    </row>
    <row r="87" spans="1:9">
      <c r="B87" s="2" t="s">
        <v>154</v>
      </c>
      <c r="C87" s="5" t="s">
        <v>97</v>
      </c>
      <c r="D87" s="123">
        <v>99.83</v>
      </c>
      <c r="E87" s="123">
        <v>100</v>
      </c>
      <c r="F87" s="123">
        <v>102.56</v>
      </c>
    </row>
    <row r="88" spans="1:9">
      <c r="B88" s="2" t="s">
        <v>100</v>
      </c>
      <c r="C88" s="5" t="s">
        <v>98</v>
      </c>
      <c r="D88" s="123">
        <v>2.4300000000000002</v>
      </c>
      <c r="E88" s="123">
        <v>2.5499999999999998</v>
      </c>
      <c r="F88" s="123">
        <v>2.64</v>
      </c>
    </row>
    <row r="89" spans="1:9">
      <c r="B89" s="2" t="s">
        <v>155</v>
      </c>
      <c r="C89" s="5" t="s">
        <v>98</v>
      </c>
      <c r="D89" s="123">
        <v>4.8600000000000003</v>
      </c>
      <c r="E89" s="123">
        <v>5.0999999999999996</v>
      </c>
      <c r="F89" s="123">
        <v>5.29</v>
      </c>
    </row>
    <row r="90" spans="1:9">
      <c r="A90" s="35">
        <f>'2. Notes and Assumptions'!B43</f>
        <v>20</v>
      </c>
      <c r="B90" s="2" t="s">
        <v>156</v>
      </c>
      <c r="C90" s="5" t="s">
        <v>157</v>
      </c>
      <c r="D90" s="124">
        <v>0.54800000000000004</v>
      </c>
      <c r="E90" s="124">
        <v>0.54800000000000004</v>
      </c>
      <c r="F90" s="124">
        <v>0.54800000000000004</v>
      </c>
    </row>
    <row r="91" spans="1:9">
      <c r="B91" s="2" t="s">
        <v>153</v>
      </c>
      <c r="C91" s="5" t="s">
        <v>97</v>
      </c>
      <c r="D91" s="123">
        <v>600.65</v>
      </c>
      <c r="E91" s="123">
        <v>492.02</v>
      </c>
      <c r="F91" s="123">
        <v>505.41</v>
      </c>
    </row>
    <row r="92" spans="1:9">
      <c r="B92" s="2" t="s">
        <v>159</v>
      </c>
      <c r="C92" s="5" t="s">
        <v>145</v>
      </c>
      <c r="D92" s="123">
        <v>587.41999999999996</v>
      </c>
      <c r="E92" s="123">
        <v>481.18</v>
      </c>
      <c r="F92" s="123">
        <v>494.28</v>
      </c>
    </row>
    <row r="93" spans="1:9">
      <c r="C93" s="5"/>
    </row>
    <row r="94" spans="1:9" ht="15.75">
      <c r="B94" s="10" t="s">
        <v>215</v>
      </c>
    </row>
    <row r="95" spans="1:9">
      <c r="A95" s="35">
        <f>'2. Notes and Assumptions'!B27</f>
        <v>6</v>
      </c>
      <c r="B95" s="2" t="s">
        <v>216</v>
      </c>
      <c r="C95" s="5" t="s">
        <v>104</v>
      </c>
      <c r="E95" s="34">
        <v>0</v>
      </c>
      <c r="F95" s="125">
        <v>0</v>
      </c>
      <c r="G95" s="125">
        <v>0</v>
      </c>
      <c r="H95" s="125">
        <v>0</v>
      </c>
      <c r="I95" s="125">
        <v>0</v>
      </c>
    </row>
    <row r="96" spans="1:9">
      <c r="C96" s="5"/>
    </row>
    <row r="97" spans="2:9">
      <c r="C97" s="5"/>
    </row>
    <row r="98" spans="2:9" ht="15.75">
      <c r="B98" s="10" t="s">
        <v>304</v>
      </c>
      <c r="C98" s="5"/>
    </row>
    <row r="99" spans="2:9">
      <c r="B99" s="2" t="s">
        <v>304</v>
      </c>
      <c r="C99" s="5" t="s">
        <v>104</v>
      </c>
      <c r="D99" s="116">
        <v>0</v>
      </c>
    </row>
    <row r="100" spans="2:9">
      <c r="C100" s="5"/>
    </row>
    <row r="101" spans="2:9">
      <c r="B101" s="2" t="s">
        <v>316</v>
      </c>
      <c r="C101" s="5"/>
    </row>
    <row r="102" spans="2:9">
      <c r="B102" s="2" t="s">
        <v>116</v>
      </c>
      <c r="C102" s="5" t="s">
        <v>106</v>
      </c>
      <c r="E102" s="30">
        <f>SUM('10. Water-Existing Assets Input'!J7:J25)-SUM('10. Water-Existing Assets Input'!C7:C25)</f>
        <v>0</v>
      </c>
      <c r="F102" s="30">
        <f ca="1">E104</f>
        <v>0</v>
      </c>
      <c r="G102" s="30">
        <f t="shared" ref="G102:I102" ca="1" si="22">F104</f>
        <v>0</v>
      </c>
      <c r="H102" s="30">
        <f t="shared" ca="1" si="22"/>
        <v>0</v>
      </c>
      <c r="I102" s="30">
        <f t="shared" ca="1" si="22"/>
        <v>0</v>
      </c>
    </row>
    <row r="103" spans="2:9">
      <c r="B103" s="2" t="s">
        <v>317</v>
      </c>
      <c r="C103" s="5" t="s">
        <v>106</v>
      </c>
      <c r="E103" s="30">
        <f ca="1">E102*E9</f>
        <v>0</v>
      </c>
      <c r="F103" s="30">
        <f ca="1">F102*F9</f>
        <v>0</v>
      </c>
      <c r="G103" s="30">
        <f ca="1">G102*G9</f>
        <v>0</v>
      </c>
      <c r="H103" s="30">
        <f ca="1">H102*H9</f>
        <v>0</v>
      </c>
      <c r="I103" s="30">
        <f ca="1">I102*I9</f>
        <v>0</v>
      </c>
    </row>
    <row r="104" spans="2:9">
      <c r="B104" s="2" t="s">
        <v>118</v>
      </c>
      <c r="C104" s="5" t="s">
        <v>106</v>
      </c>
      <c r="E104" s="30">
        <f ca="1">SUM(E102:E103)</f>
        <v>0</v>
      </c>
      <c r="F104" s="30">
        <f ca="1">SUM(F102:F103)</f>
        <v>0</v>
      </c>
      <c r="G104" s="30">
        <f t="shared" ref="G104:I104" ca="1" si="23">SUM(G102:G103)</f>
        <v>0</v>
      </c>
      <c r="H104" s="30">
        <f t="shared" ca="1" si="23"/>
        <v>0</v>
      </c>
      <c r="I104" s="30">
        <f t="shared" ca="1" si="23"/>
        <v>0</v>
      </c>
    </row>
  </sheetData>
  <pageMargins left="0" right="0" top="0" bottom="0" header="0" footer="0"/>
  <pageSetup paperSize="9" scale="85"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3" stopIfTrue="1" id="{5C3300B6-CB12-BB4D-82CD-2AE8223B6DA2}">
            <xm:f>'2. Notes and Assumptions'!$D$92="ERROR"</xm:f>
            <x14:dxf>
              <font>
                <color theme="0"/>
              </font>
              <fill>
                <patternFill patternType="solid">
                  <fgColor indexed="64"/>
                  <bgColor rgb="FFFF0000"/>
                </patternFill>
              </fill>
            </x14:dxf>
          </x14:cfRule>
          <x14:cfRule type="expression" priority="4" id="{477B0260-9184-1F43-834A-58015BBD08F2}">
            <xm:f>'2. Notes and Assumptions'!$D$103="ERROR"</xm:f>
            <x14:dxf>
              <font>
                <strike val="0"/>
                <color rgb="FF000090"/>
              </font>
              <fill>
                <patternFill patternType="darkGrid">
                  <fgColor theme="0"/>
                  <bgColor rgb="FFFF6600"/>
                </patternFill>
              </fill>
            </x14:dxf>
          </x14:cfRule>
          <xm:sqref>A1:XFD1 A1:A37 A46:A1048576</xm:sqref>
        </x14:conditionalFormatting>
        <x14:conditionalFormatting xmlns:xm="http://schemas.microsoft.com/office/excel/2006/main">
          <x14:cfRule type="expression" priority="1" stopIfTrue="1" id="{D40BEFF6-6BEF-844A-B951-6FE73866EFA2}">
            <xm:f>'2. Notes and Assumptions'!$D$92="ERROR"</xm:f>
            <x14:dxf>
              <font>
                <color theme="0"/>
              </font>
              <fill>
                <patternFill patternType="solid">
                  <fgColor indexed="64"/>
                  <bgColor rgb="FFFF0000"/>
                </patternFill>
              </fill>
            </x14:dxf>
          </x14:cfRule>
          <x14:cfRule type="expression" priority="2" id="{3FA53175-E633-8344-B6A0-B8596EBCCBA2}">
            <xm:f>'2. Notes and Assumptions'!$D$103="ERROR"</xm:f>
            <x14:dxf>
              <font>
                <strike val="0"/>
                <color rgb="FF000090"/>
              </font>
              <fill>
                <patternFill patternType="darkGrid">
                  <fgColor theme="0"/>
                  <bgColor rgb="FFFF6600"/>
                </patternFill>
              </fill>
            </x14:dxf>
          </x14:cfRule>
          <xm:sqref>A38:A45</xm:sqref>
        </x14:conditionalFormatting>
      </x14:conditionalFormatting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sheetPr codeName="Sheet5"/>
  <dimension ref="A1:AI12"/>
  <sheetViews>
    <sheetView zoomScaleNormal="100" workbookViewId="0">
      <selection activeCell="B20" sqref="B20"/>
    </sheetView>
  </sheetViews>
  <sheetFormatPr defaultColWidth="10.6640625" defaultRowHeight="15"/>
  <cols>
    <col min="1" max="1" width="31" style="11" customWidth="1"/>
    <col min="2" max="2" width="23.5546875" style="2" customWidth="1"/>
    <col min="3" max="3" width="14.109375" style="2" customWidth="1"/>
    <col min="4" max="4" width="25" style="2" customWidth="1"/>
    <col min="5" max="5" width="9.33203125" style="2" customWidth="1"/>
    <col min="6" max="6" width="10.21875" style="2" customWidth="1"/>
    <col min="7" max="11" width="13.5546875" style="2" customWidth="1"/>
    <col min="12" max="16384" width="10.6640625" style="2"/>
  </cols>
  <sheetData>
    <row r="1" spans="1:35" s="6" customFormat="1" ht="18" customHeight="1">
      <c r="A1" s="92" t="s">
        <v>115</v>
      </c>
      <c r="B1" s="91"/>
      <c r="C1" s="91"/>
      <c r="E1" s="91"/>
      <c r="F1" s="91"/>
      <c r="G1" s="91"/>
      <c r="H1" s="91"/>
      <c r="I1" s="91"/>
      <c r="J1" s="91"/>
    </row>
    <row r="2" spans="1:35" ht="18" customHeight="1">
      <c r="A2" s="3" t="str">
        <f ca="1">MID(CELL("filename",A1),FIND("]",CELL("filename",A1))+1,LEN(CELL("filename",A1))-FIND("]",CELL("filename",A1)))</f>
        <v>4. Cardno Capex Reduction</v>
      </c>
      <c r="B2" s="3"/>
      <c r="C2" s="3"/>
      <c r="D2" s="3"/>
      <c r="E2" s="3"/>
      <c r="F2" s="3"/>
      <c r="G2" s="3"/>
      <c r="H2" s="3"/>
      <c r="I2" s="3"/>
      <c r="J2" s="3"/>
    </row>
    <row r="3" spans="1:35" s="6" customFormat="1" ht="29.25" customHeight="1">
      <c r="A3" s="11">
        <f>'2. Notes and Assumptions'!B76</f>
        <v>52</v>
      </c>
      <c r="B3" s="22" t="s">
        <v>375</v>
      </c>
      <c r="C3" s="37" t="s">
        <v>376</v>
      </c>
      <c r="D3" s="37" t="s">
        <v>378</v>
      </c>
      <c r="E3" s="21" t="s">
        <v>128</v>
      </c>
      <c r="G3" s="21"/>
      <c r="H3" s="21"/>
      <c r="I3" s="21"/>
      <c r="J3" s="21"/>
      <c r="K3" s="21"/>
      <c r="L3" s="2"/>
      <c r="M3" s="2"/>
      <c r="N3" s="2"/>
      <c r="O3" s="2"/>
      <c r="P3" s="2"/>
      <c r="Q3" s="2"/>
      <c r="R3" s="2"/>
      <c r="S3" s="2"/>
      <c r="T3" s="2"/>
      <c r="U3" s="2"/>
      <c r="V3" s="2"/>
      <c r="W3" s="2"/>
      <c r="X3" s="2"/>
      <c r="Y3" s="2"/>
      <c r="Z3" s="2"/>
      <c r="AA3" s="2"/>
      <c r="AB3" s="2"/>
      <c r="AC3" s="2"/>
      <c r="AD3" s="2"/>
      <c r="AE3" s="2"/>
      <c r="AF3" s="2"/>
      <c r="AG3" s="2"/>
      <c r="AH3" s="2"/>
      <c r="AI3" s="2"/>
    </row>
    <row r="4" spans="1:35" s="6" customFormat="1">
      <c r="A4" s="11"/>
      <c r="B4" s="2" t="s">
        <v>44</v>
      </c>
      <c r="C4" s="38">
        <f>SUM('11. Water - Capex Input'!$T$5:$T$185)</f>
        <v>30948958.172217324</v>
      </c>
      <c r="D4" s="38">
        <f>(C4/C6)*D6</f>
        <v>-2080841.3054067653</v>
      </c>
      <c r="E4" s="38">
        <f>SUMPRODUCT('11. Water - Capex Input'!$T$5:$T$185,'11. Water - Capex Input'!$U$5:$U$185)/C4</f>
        <v>34.086098305848935</v>
      </c>
      <c r="G4" s="21"/>
      <c r="H4" s="21"/>
      <c r="I4" s="21"/>
      <c r="J4" s="21"/>
      <c r="K4" s="21"/>
      <c r="L4" s="2"/>
      <c r="M4" s="2"/>
      <c r="N4" s="2"/>
      <c r="O4" s="2"/>
      <c r="P4" s="2"/>
      <c r="Q4" s="2"/>
      <c r="R4" s="2"/>
      <c r="S4" s="2"/>
      <c r="T4" s="2"/>
      <c r="U4" s="2"/>
      <c r="V4" s="2"/>
      <c r="W4" s="2"/>
      <c r="X4" s="2"/>
      <c r="Y4" s="2"/>
      <c r="Z4" s="2"/>
      <c r="AA4" s="2"/>
      <c r="AB4" s="2"/>
      <c r="AC4" s="2"/>
      <c r="AD4" s="2"/>
      <c r="AE4" s="2"/>
      <c r="AF4" s="2"/>
      <c r="AG4" s="2"/>
      <c r="AH4" s="2"/>
      <c r="AI4" s="2"/>
    </row>
    <row r="5" spans="1:35" s="6" customFormat="1">
      <c r="A5" s="11"/>
      <c r="B5" s="2" t="s">
        <v>45</v>
      </c>
      <c r="C5" s="38">
        <f>SUM('19. Sewer - Capex Input'!$T$4:$T$148)</f>
        <v>117783951.40527388</v>
      </c>
      <c r="D5" s="38">
        <f>D6-D4</f>
        <v>-7919158.6945932349</v>
      </c>
      <c r="E5" s="38">
        <f>SUMPRODUCT('19. Sewer - Capex Input'!$T$4:$T$148,'19. Sewer - Capex Input'!$U$4:$U$148)/C5</f>
        <v>32.16934224040952</v>
      </c>
      <c r="G5" s="21"/>
      <c r="H5" s="21"/>
      <c r="I5" s="21"/>
      <c r="J5" s="21"/>
      <c r="K5" s="21"/>
      <c r="L5" s="2"/>
      <c r="M5" s="2"/>
      <c r="N5" s="2"/>
      <c r="O5" s="2"/>
      <c r="P5" s="2"/>
      <c r="Q5" s="2"/>
      <c r="R5" s="2"/>
      <c r="S5" s="2"/>
      <c r="T5" s="2"/>
      <c r="U5" s="2"/>
      <c r="V5" s="2"/>
      <c r="W5" s="2"/>
      <c r="X5" s="2"/>
      <c r="Y5" s="2"/>
      <c r="Z5" s="2"/>
      <c r="AA5" s="2"/>
      <c r="AB5" s="2"/>
      <c r="AC5" s="2"/>
      <c r="AD5" s="2"/>
      <c r="AE5" s="2"/>
      <c r="AF5" s="2"/>
      <c r="AG5" s="2"/>
      <c r="AH5" s="2"/>
      <c r="AI5" s="2"/>
    </row>
    <row r="6" spans="1:35" s="6" customFormat="1">
      <c r="A6" s="11"/>
      <c r="B6" s="2" t="s">
        <v>49</v>
      </c>
      <c r="C6" s="39">
        <f>SUM(C4:C5)</f>
        <v>148732909.57749122</v>
      </c>
      <c r="D6" s="126">
        <v>-10000000</v>
      </c>
      <c r="E6" s="38"/>
      <c r="G6" s="21"/>
      <c r="H6" s="21"/>
      <c r="I6" s="21"/>
      <c r="J6" s="21"/>
      <c r="K6" s="21"/>
      <c r="L6" s="2"/>
      <c r="M6" s="2"/>
      <c r="N6" s="2"/>
      <c r="O6" s="2"/>
      <c r="P6" s="2"/>
      <c r="Q6" s="2"/>
      <c r="R6" s="2"/>
      <c r="S6" s="2"/>
      <c r="T6" s="2"/>
      <c r="U6" s="2"/>
      <c r="V6" s="2"/>
      <c r="W6" s="2"/>
      <c r="X6" s="2"/>
      <c r="Y6" s="2"/>
      <c r="Z6" s="2"/>
      <c r="AA6" s="2"/>
      <c r="AB6" s="2"/>
      <c r="AC6" s="2"/>
      <c r="AD6" s="2"/>
      <c r="AE6" s="2"/>
      <c r="AF6" s="2"/>
      <c r="AG6" s="2"/>
      <c r="AH6" s="2"/>
      <c r="AI6" s="2"/>
    </row>
    <row r="7" spans="1:35" s="6" customFormat="1">
      <c r="A7" s="11"/>
      <c r="B7" s="15"/>
      <c r="C7" s="20"/>
      <c r="D7" s="20"/>
      <c r="E7" s="21"/>
      <c r="G7" s="21"/>
      <c r="H7" s="21"/>
      <c r="I7" s="21"/>
      <c r="J7" s="21"/>
      <c r="K7" s="21"/>
      <c r="L7" s="2"/>
      <c r="M7" s="2"/>
      <c r="N7" s="2"/>
      <c r="O7" s="2"/>
      <c r="P7" s="2"/>
      <c r="Q7" s="2"/>
      <c r="R7" s="2"/>
      <c r="S7" s="2"/>
      <c r="T7" s="2"/>
      <c r="U7" s="2"/>
      <c r="V7" s="2"/>
      <c r="W7" s="2"/>
      <c r="X7" s="2"/>
      <c r="Y7" s="2"/>
      <c r="Z7" s="2"/>
      <c r="AA7" s="2"/>
      <c r="AB7" s="2"/>
      <c r="AC7" s="2"/>
      <c r="AD7" s="2"/>
      <c r="AE7" s="2"/>
      <c r="AF7" s="2"/>
      <c r="AG7" s="2"/>
      <c r="AH7" s="2"/>
      <c r="AI7" s="2"/>
    </row>
    <row r="8" spans="1:35" s="6" customFormat="1" ht="30.75">
      <c r="A8" s="11"/>
      <c r="B8" s="22" t="s">
        <v>377</v>
      </c>
      <c r="C8" s="37" t="s">
        <v>376</v>
      </c>
      <c r="D8" s="37" t="s">
        <v>378</v>
      </c>
      <c r="E8" s="21" t="s">
        <v>128</v>
      </c>
      <c r="G8" s="21"/>
      <c r="H8" s="21"/>
      <c r="I8" s="21"/>
      <c r="J8" s="21"/>
      <c r="K8" s="21"/>
      <c r="L8" s="2"/>
      <c r="M8" s="2"/>
      <c r="N8" s="2"/>
      <c r="O8" s="2"/>
      <c r="P8" s="2"/>
      <c r="Q8" s="2"/>
      <c r="R8" s="2"/>
      <c r="S8" s="2"/>
      <c r="T8" s="2"/>
      <c r="U8" s="2"/>
      <c r="V8" s="2"/>
      <c r="W8" s="2"/>
      <c r="X8" s="2"/>
      <c r="Y8" s="2"/>
      <c r="Z8" s="2"/>
      <c r="AA8" s="2"/>
      <c r="AB8" s="2"/>
      <c r="AC8" s="2"/>
      <c r="AD8" s="2"/>
      <c r="AE8" s="2"/>
      <c r="AF8" s="2"/>
      <c r="AG8" s="2"/>
      <c r="AH8" s="2"/>
      <c r="AI8" s="2"/>
    </row>
    <row r="9" spans="1:35" s="6" customFormat="1">
      <c r="A9" s="11"/>
      <c r="B9" s="2" t="s">
        <v>44</v>
      </c>
      <c r="C9" s="38">
        <f>SUM('11. Water - Capex Input'!$V$5:$V$185)</f>
        <v>45943123.04702276</v>
      </c>
      <c r="D9" s="38">
        <f>(C9/C11)*D11</f>
        <v>-3754256.6513461662</v>
      </c>
      <c r="E9" s="38">
        <f>SUMPRODUCT('11. Water - Capex Input'!$V$5:$V$185,'11. Water - Capex Input'!$W$5:$W$185)/C9</f>
        <v>34.086098305848942</v>
      </c>
      <c r="G9" s="21"/>
      <c r="H9" s="21"/>
      <c r="I9" s="21"/>
      <c r="J9" s="21"/>
      <c r="K9" s="21"/>
      <c r="L9" s="2"/>
      <c r="M9" s="2"/>
      <c r="N9" s="2"/>
      <c r="O9" s="2"/>
      <c r="P9" s="2"/>
      <c r="Q9" s="2"/>
      <c r="R9" s="2"/>
      <c r="S9" s="2"/>
      <c r="T9" s="2"/>
      <c r="U9" s="2"/>
      <c r="V9" s="2"/>
      <c r="W9" s="2"/>
      <c r="X9" s="2"/>
      <c r="Y9" s="2"/>
      <c r="Z9" s="2"/>
      <c r="AA9" s="2"/>
      <c r="AB9" s="2"/>
      <c r="AC9" s="2"/>
      <c r="AD9" s="2"/>
      <c r="AE9" s="2"/>
      <c r="AF9" s="2"/>
      <c r="AG9" s="2"/>
      <c r="AH9" s="2"/>
      <c r="AI9" s="2"/>
    </row>
    <row r="10" spans="1:35" s="6" customFormat="1">
      <c r="A10" s="11"/>
      <c r="B10" s="2" t="s">
        <v>45</v>
      </c>
      <c r="C10" s="38">
        <f>SUM('19. Sewer - Capex Input'!$V$4:$V$148)</f>
        <v>76432961.791367024</v>
      </c>
      <c r="D10" s="38">
        <f>D11-D9</f>
        <v>-6245743.3486538343</v>
      </c>
      <c r="E10" s="38">
        <f>SUMPRODUCT('19. Sewer - Capex Input'!$V$4:$V$148,'19. Sewer - Capex Input'!$W$4:$W$148)/C10</f>
        <v>32.169342240409513</v>
      </c>
      <c r="G10" s="21"/>
      <c r="H10" s="21"/>
      <c r="I10" s="21"/>
      <c r="J10" s="21"/>
      <c r="K10" s="21"/>
      <c r="L10" s="2"/>
      <c r="M10" s="2"/>
      <c r="N10" s="2"/>
      <c r="O10" s="2"/>
      <c r="P10" s="2"/>
      <c r="Q10" s="2"/>
      <c r="R10" s="2"/>
      <c r="S10" s="2"/>
      <c r="T10" s="2"/>
      <c r="U10" s="2"/>
      <c r="V10" s="2"/>
      <c r="W10" s="2"/>
      <c r="X10" s="2"/>
      <c r="Y10" s="2"/>
      <c r="Z10" s="2"/>
      <c r="AA10" s="2"/>
      <c r="AB10" s="2"/>
      <c r="AC10" s="2"/>
      <c r="AD10" s="2"/>
      <c r="AE10" s="2"/>
      <c r="AF10" s="2"/>
      <c r="AG10" s="2"/>
      <c r="AH10" s="2"/>
      <c r="AI10" s="2"/>
    </row>
    <row r="11" spans="1:35" s="6" customFormat="1">
      <c r="A11" s="11"/>
      <c r="B11" s="2" t="s">
        <v>49</v>
      </c>
      <c r="C11" s="39">
        <f>SUM(C9:C10)</f>
        <v>122376084.83838978</v>
      </c>
      <c r="D11" s="126">
        <v>-10000000</v>
      </c>
      <c r="E11" s="20"/>
      <c r="F11" s="21"/>
      <c r="G11" s="21"/>
      <c r="H11" s="21"/>
      <c r="I11" s="21"/>
      <c r="J11" s="21"/>
      <c r="K11" s="21"/>
      <c r="L11" s="2"/>
      <c r="M11" s="2"/>
      <c r="N11" s="2"/>
      <c r="O11" s="2"/>
      <c r="P11" s="2"/>
      <c r="Q11" s="2"/>
      <c r="R11" s="2"/>
      <c r="S11" s="2"/>
      <c r="T11" s="2"/>
      <c r="U11" s="2"/>
      <c r="V11" s="2"/>
      <c r="W11" s="2"/>
      <c r="X11" s="2"/>
      <c r="Y11" s="2"/>
      <c r="Z11" s="2"/>
      <c r="AA11" s="2"/>
      <c r="AB11" s="2"/>
      <c r="AC11" s="2"/>
      <c r="AD11" s="2"/>
      <c r="AE11" s="2"/>
      <c r="AF11" s="2"/>
      <c r="AG11" s="2"/>
      <c r="AH11" s="2"/>
      <c r="AI11" s="2"/>
    </row>
    <row r="12" spans="1:35" s="6" customFormat="1">
      <c r="A12" s="11"/>
      <c r="B12" s="15"/>
      <c r="C12" s="20"/>
      <c r="D12" s="20"/>
      <c r="E12" s="20"/>
      <c r="F12" s="21"/>
      <c r="G12" s="21"/>
      <c r="H12" s="21"/>
      <c r="I12" s="21"/>
      <c r="J12" s="21"/>
      <c r="K12" s="21"/>
      <c r="L12" s="2"/>
      <c r="M12" s="2"/>
      <c r="N12" s="2"/>
      <c r="O12" s="2"/>
      <c r="P12" s="2"/>
      <c r="Q12" s="2"/>
      <c r="R12" s="2"/>
      <c r="S12" s="2"/>
      <c r="T12" s="2"/>
      <c r="U12" s="2"/>
      <c r="V12" s="2"/>
      <c r="W12" s="2"/>
      <c r="X12" s="2"/>
      <c r="Y12" s="2"/>
      <c r="Z12" s="2"/>
      <c r="AA12" s="2"/>
      <c r="AB12" s="2"/>
      <c r="AC12" s="2"/>
      <c r="AD12" s="2"/>
      <c r="AE12" s="2"/>
      <c r="AF12" s="2"/>
      <c r="AG12" s="2"/>
      <c r="AH12" s="2"/>
      <c r="AI12" s="2"/>
    </row>
  </sheetData>
  <pageMargins left="0.75" right="0.75" top="1" bottom="1" header="0.5" footer="0.5"/>
  <pageSetup paperSize="9" orientation="landscape" r:id="rId1"/>
  <extLst>
    <ext xmlns:x14="http://schemas.microsoft.com/office/spreadsheetml/2009/9/main" uri="{78C0D931-6437-407d-A8EE-F0AAD7539E65}">
      <x14:conditionalFormattings>
        <x14:conditionalFormatting xmlns:xm="http://schemas.microsoft.com/office/excel/2006/main">
          <x14:cfRule type="expression" priority="1" stopIfTrue="1" id="{4E238433-F248-9D4D-B2E4-859E115C870C}">
            <xm:f>'2. Notes and Assumptions'!$D$92="ERROR"</xm:f>
            <x14:dxf>
              <font>
                <color theme="0"/>
              </font>
              <fill>
                <patternFill patternType="solid">
                  <fgColor indexed="64"/>
                  <bgColor rgb="FFFF0000"/>
                </patternFill>
              </fill>
            </x14:dxf>
          </x14:cfRule>
          <x14:cfRule type="expression" priority="2" id="{4C1DC80A-205E-8241-8309-45A587B1B98C}">
            <xm:f>'2. Notes and Assumptions'!$D$103="ERROR"</xm:f>
            <x14:dxf>
              <font>
                <strike val="0"/>
                <color rgb="FF000090"/>
              </font>
              <fill>
                <patternFill patternType="darkGrid">
                  <fgColor theme="0"/>
                  <bgColor rgb="FFFF6600"/>
                </patternFill>
              </fill>
            </x14:dxf>
          </x14:cfRule>
          <xm:sqref>A1:XFD1 A3:A1048576</xm:sqref>
        </x14:conditionalFormatting>
      </x14:conditionalFormatting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sheetPr codeName="Sheet6"/>
  <dimension ref="A1:T78"/>
  <sheetViews>
    <sheetView zoomScaleNormal="100" workbookViewId="0">
      <pane ySplit="3" topLeftCell="A4" activePane="bottomLeft" state="frozen"/>
      <selection pane="bottomLeft" activeCell="N1" sqref="N1"/>
    </sheetView>
  </sheetViews>
  <sheetFormatPr defaultColWidth="10.6640625" defaultRowHeight="15"/>
  <cols>
    <col min="1" max="1" width="30.6640625" style="11" customWidth="1"/>
    <col min="2" max="2" width="28.6640625" style="2" customWidth="1"/>
    <col min="3" max="3" width="23.109375" style="2" customWidth="1"/>
    <col min="4" max="4" width="8.33203125" style="2" customWidth="1"/>
    <col min="5" max="5" width="10.88671875" style="2" customWidth="1"/>
    <col min="6" max="6" width="10.6640625" style="2" customWidth="1"/>
    <col min="7" max="7" width="10" style="2" customWidth="1"/>
    <col min="8" max="8" width="10.109375" style="2" customWidth="1"/>
    <col min="9" max="9" width="11.109375" style="2" customWidth="1"/>
    <col min="10" max="10" width="10.6640625" style="2"/>
    <col min="11" max="11" width="13.109375" style="2" customWidth="1"/>
    <col min="12" max="12" width="16.6640625" style="2" customWidth="1"/>
    <col min="13" max="13" width="28" style="2" customWidth="1"/>
    <col min="14" max="16384" width="10.6640625" style="2"/>
  </cols>
  <sheetData>
    <row r="1" spans="1:20" s="6" customFormat="1" ht="23.25" customHeight="1">
      <c r="A1" s="92" t="s">
        <v>115</v>
      </c>
      <c r="B1" s="91"/>
      <c r="C1" s="91"/>
      <c r="D1" s="91"/>
      <c r="E1" s="91"/>
      <c r="F1" s="91"/>
      <c r="G1" s="91"/>
      <c r="H1" s="91"/>
    </row>
    <row r="2" spans="1:20" ht="18" customHeight="1">
      <c r="A2" s="3" t="str">
        <f ca="1">MID(CELL("filename",A1),FIND("]",CELL("filename",A1))+1,LEN(CELL("filename",A1))-FIND("]",CELL("filename",A1)))</f>
        <v>5. Demand Forecast Inputs</v>
      </c>
      <c r="B2" s="3"/>
      <c r="C2" s="3"/>
      <c r="D2" s="3"/>
      <c r="E2" s="3"/>
      <c r="F2" s="3"/>
      <c r="G2" s="3"/>
      <c r="H2" s="3"/>
    </row>
    <row r="3" spans="1:20" s="6" customFormat="1">
      <c r="A3" s="11"/>
      <c r="B3" s="15"/>
      <c r="C3" s="16" t="s">
        <v>0</v>
      </c>
      <c r="D3" s="17">
        <v>0</v>
      </c>
      <c r="E3" s="17">
        <v>1</v>
      </c>
      <c r="F3" s="17">
        <v>2</v>
      </c>
      <c r="G3" s="17">
        <v>3</v>
      </c>
      <c r="H3" s="17">
        <v>4</v>
      </c>
      <c r="I3" s="17">
        <v>5</v>
      </c>
      <c r="J3" s="2"/>
      <c r="K3" s="2"/>
      <c r="L3" s="2"/>
      <c r="M3" s="2"/>
      <c r="N3" s="2"/>
      <c r="O3" s="2"/>
      <c r="P3" s="2"/>
      <c r="Q3" s="2"/>
      <c r="R3" s="2"/>
      <c r="S3" s="2"/>
      <c r="T3" s="2"/>
    </row>
    <row r="4" spans="1:20" s="6" customFormat="1">
      <c r="A4" s="11"/>
      <c r="B4" s="15"/>
      <c r="C4" s="18" t="s">
        <v>1</v>
      </c>
      <c r="D4" s="19" t="s">
        <v>162</v>
      </c>
      <c r="E4" s="19" t="s">
        <v>10</v>
      </c>
      <c r="F4" s="19" t="s">
        <v>11</v>
      </c>
      <c r="G4" s="19" t="s">
        <v>2</v>
      </c>
      <c r="H4" s="19" t="s">
        <v>3</v>
      </c>
      <c r="I4" s="19" t="s">
        <v>4</v>
      </c>
      <c r="J4" s="2"/>
      <c r="K4" s="2"/>
      <c r="L4" s="2"/>
      <c r="M4" s="2"/>
      <c r="N4" s="2"/>
      <c r="O4" s="2"/>
      <c r="P4" s="2"/>
      <c r="Q4" s="2"/>
      <c r="R4" s="2"/>
      <c r="S4" s="2"/>
      <c r="T4" s="2"/>
    </row>
    <row r="5" spans="1:20" ht="15.75">
      <c r="B5" s="10" t="s">
        <v>200</v>
      </c>
    </row>
    <row r="6" spans="1:20">
      <c r="B6" s="2" t="s">
        <v>202</v>
      </c>
      <c r="C6" s="98" t="str">
        <f>'2. Notes and Assumptions'!C12</f>
        <v>Panel Final Decision</v>
      </c>
      <c r="D6" s="99"/>
    </row>
    <row r="7" spans="1:20">
      <c r="B7" s="2" t="s">
        <v>455</v>
      </c>
      <c r="C7" s="2" t="s">
        <v>176</v>
      </c>
      <c r="E7" s="127">
        <f t="shared" ref="E7:I11" ca="1" si="0">OFFSET(E15,VLOOKUP($C$6,$C$72:$D$78,2,FALSE),0)</f>
        <v>162951</v>
      </c>
      <c r="F7" s="127">
        <f t="shared" ca="1" si="0"/>
        <v>166992</v>
      </c>
      <c r="G7" s="127">
        <f t="shared" ca="1" si="0"/>
        <v>171134</v>
      </c>
      <c r="H7" s="127">
        <f t="shared" ca="1" si="0"/>
        <v>175378</v>
      </c>
      <c r="I7" s="127">
        <f t="shared" ca="1" si="0"/>
        <v>179728</v>
      </c>
    </row>
    <row r="8" spans="1:20">
      <c r="B8" s="2" t="s">
        <v>91</v>
      </c>
      <c r="C8" s="2" t="s">
        <v>94</v>
      </c>
      <c r="E8" s="127">
        <f t="shared" ca="1" si="0"/>
        <v>23760000</v>
      </c>
      <c r="F8" s="127">
        <f t="shared" ca="1" si="0"/>
        <v>24527730</v>
      </c>
      <c r="G8" s="127">
        <f t="shared" ca="1" si="0"/>
        <v>25313508</v>
      </c>
      <c r="H8" s="127">
        <f t="shared" ca="1" si="0"/>
        <v>26042589</v>
      </c>
      <c r="I8" s="127">
        <f t="shared" ca="1" si="0"/>
        <v>26720228</v>
      </c>
    </row>
    <row r="9" spans="1:20">
      <c r="B9" s="2" t="s">
        <v>92</v>
      </c>
      <c r="C9" s="2" t="s">
        <v>94</v>
      </c>
      <c r="E9" s="127">
        <f t="shared" ca="1" si="0"/>
        <v>18170000</v>
      </c>
      <c r="F9" s="127">
        <f t="shared" ca="1" si="0"/>
        <v>18618609</v>
      </c>
      <c r="G9" s="127">
        <f t="shared" ca="1" si="0"/>
        <v>18354602</v>
      </c>
      <c r="H9" s="127">
        <f t="shared" ca="1" si="0"/>
        <v>18162065</v>
      </c>
      <c r="I9" s="127">
        <f t="shared" ca="1" si="0"/>
        <v>18036285</v>
      </c>
    </row>
    <row r="10" spans="1:20">
      <c r="B10" s="2" t="s">
        <v>456</v>
      </c>
      <c r="C10" s="2" t="s">
        <v>176</v>
      </c>
      <c r="E10" s="127">
        <f t="shared" ca="1" si="0"/>
        <v>162609</v>
      </c>
      <c r="F10" s="127">
        <f t="shared" ca="1" si="0"/>
        <v>166678</v>
      </c>
      <c r="G10" s="127">
        <f t="shared" ca="1" si="0"/>
        <v>170849</v>
      </c>
      <c r="H10" s="127">
        <f t="shared" ca="1" si="0"/>
        <v>175124</v>
      </c>
      <c r="I10" s="127">
        <f t="shared" ca="1" si="0"/>
        <v>179506</v>
      </c>
    </row>
    <row r="11" spans="1:20" ht="15" customHeight="1">
      <c r="B11" s="2" t="s">
        <v>95</v>
      </c>
      <c r="C11" s="2" t="s">
        <v>177</v>
      </c>
      <c r="E11" s="127">
        <f t="shared" ca="1" si="0"/>
        <v>60274</v>
      </c>
      <c r="F11" s="127">
        <f t="shared" ca="1" si="0"/>
        <v>61597</v>
      </c>
      <c r="G11" s="127">
        <f t="shared" ca="1" si="0"/>
        <v>62949</v>
      </c>
      <c r="H11" s="127">
        <f t="shared" ca="1" si="0"/>
        <v>64331</v>
      </c>
      <c r="I11" s="127">
        <f t="shared" ca="1" si="0"/>
        <v>65743</v>
      </c>
    </row>
    <row r="12" spans="1:20" ht="15" customHeight="1">
      <c r="K12" s="195"/>
      <c r="L12" s="195"/>
      <c r="M12" s="195"/>
    </row>
    <row r="13" spans="1:20" ht="24" customHeight="1">
      <c r="A13" s="11">
        <f>'2. Notes and Assumptions'!$B$48</f>
        <v>25</v>
      </c>
      <c r="B13" s="10" t="s">
        <v>201</v>
      </c>
      <c r="K13" s="195" t="s">
        <v>342</v>
      </c>
      <c r="L13" s="195" t="s">
        <v>343</v>
      </c>
      <c r="M13" s="195" t="s">
        <v>344</v>
      </c>
    </row>
    <row r="14" spans="1:20">
      <c r="B14" s="2" t="s">
        <v>202</v>
      </c>
      <c r="C14" s="99" t="s">
        <v>246</v>
      </c>
      <c r="D14" s="99"/>
      <c r="K14" s="40" t="s">
        <v>345</v>
      </c>
      <c r="L14" s="40" t="s">
        <v>352</v>
      </c>
      <c r="M14" s="40" t="s">
        <v>104</v>
      </c>
    </row>
    <row r="15" spans="1:20">
      <c r="B15" s="2" t="s">
        <v>455</v>
      </c>
      <c r="C15" s="2" t="s">
        <v>176</v>
      </c>
      <c r="E15" s="121">
        <v>162951</v>
      </c>
      <c r="F15" s="121">
        <v>166992</v>
      </c>
      <c r="G15" s="121">
        <v>171134</v>
      </c>
      <c r="H15" s="121">
        <v>175378</v>
      </c>
      <c r="I15" s="121">
        <v>179728</v>
      </c>
      <c r="K15" s="40"/>
      <c r="L15" s="40"/>
      <c r="M15" s="40"/>
    </row>
    <row r="16" spans="1:20">
      <c r="B16" s="2" t="s">
        <v>91</v>
      </c>
      <c r="C16" s="2" t="s">
        <v>94</v>
      </c>
      <c r="E16" s="121">
        <v>23760000</v>
      </c>
      <c r="F16" s="121">
        <v>24069261.207028061</v>
      </c>
      <c r="G16" s="121">
        <v>24989737.482967656</v>
      </c>
      <c r="H16" s="121">
        <v>25850108.850349039</v>
      </c>
      <c r="I16" s="121">
        <v>26655187.090829901</v>
      </c>
      <c r="K16" s="14">
        <f>SUM(E16:I17)</f>
        <v>221486662.74420235</v>
      </c>
      <c r="L16" s="14">
        <f>K16/5</f>
        <v>44297332.548840471</v>
      </c>
      <c r="M16" s="40"/>
    </row>
    <row r="17" spans="1:13" ht="18" customHeight="1">
      <c r="B17" s="2" t="s">
        <v>92</v>
      </c>
      <c r="C17" s="2" t="s">
        <v>94</v>
      </c>
      <c r="E17" s="121">
        <v>18170000</v>
      </c>
      <c r="F17" s="121">
        <v>19968688.671479024</v>
      </c>
      <c r="G17" s="121">
        <v>19605203.538156804</v>
      </c>
      <c r="H17" s="121">
        <v>19317410.543548062</v>
      </c>
      <c r="I17" s="121">
        <v>19101065.35984382</v>
      </c>
      <c r="K17" s="40"/>
      <c r="L17" s="40"/>
      <c r="M17" s="40"/>
    </row>
    <row r="18" spans="1:13">
      <c r="B18" s="2" t="s">
        <v>456</v>
      </c>
      <c r="C18" s="2" t="s">
        <v>176</v>
      </c>
      <c r="E18" s="121">
        <v>162609</v>
      </c>
      <c r="F18" s="121">
        <v>166678</v>
      </c>
      <c r="G18" s="121">
        <v>170849</v>
      </c>
      <c r="H18" s="121">
        <v>175124</v>
      </c>
      <c r="I18" s="121">
        <v>179506</v>
      </c>
      <c r="K18" s="40"/>
      <c r="L18" s="40"/>
      <c r="M18" s="40"/>
    </row>
    <row r="19" spans="1:13" ht="18" customHeight="1">
      <c r="B19" s="2" t="s">
        <v>95</v>
      </c>
      <c r="C19" s="2" t="s">
        <v>177</v>
      </c>
      <c r="E19" s="121">
        <v>60274</v>
      </c>
      <c r="F19" s="121">
        <v>61597</v>
      </c>
      <c r="G19" s="121">
        <v>62949</v>
      </c>
      <c r="H19" s="121">
        <v>64331</v>
      </c>
      <c r="I19" s="121">
        <v>65743</v>
      </c>
      <c r="K19" s="40"/>
      <c r="L19" s="40"/>
      <c r="M19" s="40"/>
    </row>
    <row r="20" spans="1:13">
      <c r="E20" s="30"/>
      <c r="F20" s="30"/>
      <c r="G20" s="30"/>
      <c r="H20" s="30"/>
      <c r="I20" s="30"/>
      <c r="K20" s="40"/>
      <c r="L20" s="40"/>
      <c r="M20" s="40"/>
    </row>
    <row r="21" spans="1:13" ht="15.75">
      <c r="A21" s="11">
        <f>'2. Notes and Assumptions'!$B$75</f>
        <v>51</v>
      </c>
      <c r="B21" s="10" t="s">
        <v>205</v>
      </c>
      <c r="E21" s="30">
        <f>SUM(E16:E17)</f>
        <v>41930000</v>
      </c>
      <c r="F21" s="30">
        <f>SUM(F16:F17)</f>
        <v>44037949.878507085</v>
      </c>
      <c r="G21" s="41">
        <f>F21/E21</f>
        <v>1.05027307127372</v>
      </c>
      <c r="H21" s="25">
        <f>F17/E17</f>
        <v>1.0989922218755654</v>
      </c>
      <c r="I21" s="30"/>
      <c r="K21" s="40"/>
      <c r="L21" s="40"/>
      <c r="M21" s="40"/>
    </row>
    <row r="22" spans="1:13">
      <c r="B22" s="2" t="s">
        <v>202</v>
      </c>
      <c r="C22" s="99" t="s">
        <v>203</v>
      </c>
      <c r="D22" s="99"/>
      <c r="E22" s="30"/>
      <c r="F22" s="30"/>
      <c r="G22" s="30"/>
      <c r="H22" s="30"/>
      <c r="I22" s="30"/>
      <c r="K22" s="40"/>
      <c r="L22" s="40"/>
      <c r="M22" s="40"/>
    </row>
    <row r="23" spans="1:13">
      <c r="B23" s="2" t="s">
        <v>455</v>
      </c>
      <c r="C23" s="2" t="s">
        <v>176</v>
      </c>
      <c r="E23" s="121">
        <f>E15</f>
        <v>162951</v>
      </c>
      <c r="F23" s="121">
        <f t="shared" ref="F23:I23" si="1">F15</f>
        <v>166992</v>
      </c>
      <c r="G23" s="121">
        <f t="shared" si="1"/>
        <v>171134</v>
      </c>
      <c r="H23" s="121">
        <f t="shared" si="1"/>
        <v>175378</v>
      </c>
      <c r="I23" s="121">
        <f t="shared" si="1"/>
        <v>179728</v>
      </c>
      <c r="K23" s="40"/>
      <c r="L23" s="40"/>
      <c r="M23" s="40"/>
    </row>
    <row r="24" spans="1:13">
      <c r="B24" s="2" t="s">
        <v>91</v>
      </c>
      <c r="C24" s="2" t="s">
        <v>94</v>
      </c>
      <c r="E24" s="121">
        <f t="shared" ref="E24:E27" si="2">E16</f>
        <v>23760000</v>
      </c>
      <c r="F24" s="121">
        <v>23910330</v>
      </c>
      <c r="G24" s="121">
        <v>24385693</v>
      </c>
      <c r="H24" s="121">
        <v>24892026</v>
      </c>
      <c r="I24" s="121">
        <v>25354373</v>
      </c>
      <c r="K24" s="14">
        <f>SUM(E24:I25)</f>
        <v>205140441</v>
      </c>
      <c r="L24" s="14">
        <f>K24/5</f>
        <v>41028088.200000003</v>
      </c>
      <c r="M24" s="42">
        <f>L24/L16-1</f>
        <v>-7.3802284714004629E-2</v>
      </c>
    </row>
    <row r="25" spans="1:13">
      <c r="B25" s="2" t="s">
        <v>92</v>
      </c>
      <c r="C25" s="2" t="s">
        <v>94</v>
      </c>
      <c r="E25" s="121">
        <f t="shared" si="2"/>
        <v>18170000</v>
      </c>
      <c r="F25" s="121">
        <v>16276582</v>
      </c>
      <c r="G25" s="121">
        <v>16242501</v>
      </c>
      <c r="H25" s="121">
        <v>16151629</v>
      </c>
      <c r="I25" s="121">
        <v>15997307</v>
      </c>
      <c r="K25" s="40"/>
      <c r="L25" s="40"/>
      <c r="M25" s="40"/>
    </row>
    <row r="26" spans="1:13">
      <c r="B26" s="2" t="s">
        <v>456</v>
      </c>
      <c r="C26" s="2" t="s">
        <v>176</v>
      </c>
      <c r="E26" s="121">
        <f t="shared" si="2"/>
        <v>162609</v>
      </c>
      <c r="F26" s="121">
        <f t="shared" ref="F26:I26" si="3">F18</f>
        <v>166678</v>
      </c>
      <c r="G26" s="121">
        <f t="shared" si="3"/>
        <v>170849</v>
      </c>
      <c r="H26" s="121">
        <f t="shared" si="3"/>
        <v>175124</v>
      </c>
      <c r="I26" s="121">
        <f t="shared" si="3"/>
        <v>179506</v>
      </c>
      <c r="K26" s="40"/>
      <c r="L26" s="40"/>
      <c r="M26" s="40"/>
    </row>
    <row r="27" spans="1:13">
      <c r="B27" s="2" t="s">
        <v>95</v>
      </c>
      <c r="C27" s="2" t="s">
        <v>177</v>
      </c>
      <c r="E27" s="121">
        <f t="shared" si="2"/>
        <v>60274</v>
      </c>
      <c r="F27" s="121">
        <f t="shared" ref="F27:I27" si="4">F19</f>
        <v>61597</v>
      </c>
      <c r="G27" s="121">
        <f t="shared" si="4"/>
        <v>62949</v>
      </c>
      <c r="H27" s="121">
        <f t="shared" si="4"/>
        <v>64331</v>
      </c>
      <c r="I27" s="121">
        <f t="shared" si="4"/>
        <v>65743</v>
      </c>
      <c r="K27" s="40"/>
      <c r="L27" s="40"/>
      <c r="M27" s="40"/>
    </row>
    <row r="28" spans="1:13">
      <c r="E28" s="30"/>
      <c r="F28" s="30">
        <f>SUM(F24:F25)</f>
        <v>40186912</v>
      </c>
      <c r="G28" s="30">
        <f>SUM(G24:G25)</f>
        <v>40628194</v>
      </c>
      <c r="H28" s="30">
        <f>SUM(H24:H25)</f>
        <v>41043655</v>
      </c>
      <c r="I28" s="30">
        <f>SUM(I24:I25)</f>
        <v>41351680</v>
      </c>
      <c r="K28" s="40"/>
      <c r="L28" s="40"/>
      <c r="M28" s="40"/>
    </row>
    <row r="29" spans="1:13" ht="15.75">
      <c r="A29" s="11">
        <f>'2. Notes and Assumptions'!$B$75</f>
        <v>51</v>
      </c>
      <c r="B29" s="10" t="s">
        <v>206</v>
      </c>
      <c r="E29" s="30"/>
      <c r="F29" s="30"/>
      <c r="G29" s="30"/>
      <c r="H29" s="30"/>
      <c r="I29" s="30"/>
      <c r="K29" s="40"/>
      <c r="L29" s="40"/>
      <c r="M29" s="40"/>
    </row>
    <row r="30" spans="1:13">
      <c r="B30" s="2" t="s">
        <v>202</v>
      </c>
      <c r="C30" s="99" t="s">
        <v>204</v>
      </c>
      <c r="D30" s="99"/>
      <c r="E30" s="30"/>
      <c r="F30" s="30"/>
      <c r="G30" s="30"/>
      <c r="H30" s="30"/>
      <c r="I30" s="30"/>
      <c r="K30" s="40"/>
      <c r="L30" s="40"/>
      <c r="M30" s="40"/>
    </row>
    <row r="31" spans="1:13">
      <c r="B31" s="2" t="s">
        <v>455</v>
      </c>
      <c r="C31" s="2" t="s">
        <v>176</v>
      </c>
      <c r="E31" s="121">
        <f>E15</f>
        <v>162951</v>
      </c>
      <c r="F31" s="121">
        <f t="shared" ref="F31:I31" si="5">F15</f>
        <v>166992</v>
      </c>
      <c r="G31" s="121">
        <f t="shared" si="5"/>
        <v>171134</v>
      </c>
      <c r="H31" s="121">
        <f t="shared" si="5"/>
        <v>175378</v>
      </c>
      <c r="I31" s="121">
        <f t="shared" si="5"/>
        <v>179728</v>
      </c>
      <c r="K31" s="40"/>
      <c r="L31" s="40"/>
      <c r="M31" s="40"/>
    </row>
    <row r="32" spans="1:13">
      <c r="B32" s="2" t="s">
        <v>91</v>
      </c>
      <c r="C32" s="2" t="s">
        <v>94</v>
      </c>
      <c r="E32" s="121">
        <f t="shared" ref="E32:E33" si="6">E24</f>
        <v>23760000</v>
      </c>
      <c r="F32" s="121">
        <v>24182786</v>
      </c>
      <c r="G32" s="121">
        <v>24990795</v>
      </c>
      <c r="H32" s="121">
        <v>25838654</v>
      </c>
      <c r="I32" s="121">
        <v>26579476</v>
      </c>
      <c r="K32" s="14">
        <f>SUM(E32:I33)</f>
        <v>230332722</v>
      </c>
      <c r="L32" s="14">
        <f>K32/5</f>
        <v>46066544.399999999</v>
      </c>
      <c r="M32" s="42">
        <f>L32/$L$16-1</f>
        <v>3.9939466991807393E-2</v>
      </c>
    </row>
    <row r="33" spans="1:13">
      <c r="B33" s="2" t="s">
        <v>92</v>
      </c>
      <c r="C33" s="2" t="s">
        <v>94</v>
      </c>
      <c r="E33" s="121">
        <f t="shared" si="6"/>
        <v>18170000</v>
      </c>
      <c r="F33" s="121">
        <v>21983123</v>
      </c>
      <c r="G33" s="121">
        <v>21920281</v>
      </c>
      <c r="H33" s="121">
        <v>21489809</v>
      </c>
      <c r="I33" s="121">
        <v>21417798</v>
      </c>
      <c r="K33" s="40"/>
      <c r="L33" s="40"/>
      <c r="M33" s="40"/>
    </row>
    <row r="34" spans="1:13">
      <c r="B34" s="2" t="s">
        <v>456</v>
      </c>
      <c r="C34" s="2" t="s">
        <v>176</v>
      </c>
      <c r="E34" s="121">
        <f t="shared" ref="E34:I34" si="7">E18</f>
        <v>162609</v>
      </c>
      <c r="F34" s="121">
        <f t="shared" si="7"/>
        <v>166678</v>
      </c>
      <c r="G34" s="121">
        <f t="shared" si="7"/>
        <v>170849</v>
      </c>
      <c r="H34" s="121">
        <f t="shared" si="7"/>
        <v>175124</v>
      </c>
      <c r="I34" s="121">
        <f t="shared" si="7"/>
        <v>179506</v>
      </c>
      <c r="K34" s="40"/>
      <c r="L34" s="40"/>
      <c r="M34" s="40"/>
    </row>
    <row r="35" spans="1:13">
      <c r="B35" s="2" t="s">
        <v>95</v>
      </c>
      <c r="C35" s="2" t="s">
        <v>177</v>
      </c>
      <c r="E35" s="121">
        <f t="shared" ref="E35:I35" si="8">E19</f>
        <v>60274</v>
      </c>
      <c r="F35" s="121">
        <f t="shared" si="8"/>
        <v>61597</v>
      </c>
      <c r="G35" s="121">
        <f t="shared" si="8"/>
        <v>62949</v>
      </c>
      <c r="H35" s="121">
        <f t="shared" si="8"/>
        <v>64331</v>
      </c>
      <c r="I35" s="121">
        <f t="shared" si="8"/>
        <v>65743</v>
      </c>
      <c r="K35" s="40"/>
      <c r="L35" s="40"/>
      <c r="M35" s="40"/>
    </row>
    <row r="36" spans="1:13">
      <c r="E36" s="30"/>
      <c r="F36" s="30">
        <f>SUM(F32:F33)</f>
        <v>46165909</v>
      </c>
      <c r="G36" s="30">
        <f>SUM(G32:G33)</f>
        <v>46911076</v>
      </c>
      <c r="H36" s="30">
        <f>SUM(H32:H33)</f>
        <v>47328463</v>
      </c>
      <c r="I36" s="30">
        <f>SUM(I32:I33)</f>
        <v>47997274</v>
      </c>
      <c r="K36" s="40"/>
      <c r="L36" s="40"/>
      <c r="M36" s="40"/>
    </row>
    <row r="37" spans="1:13" ht="15.75">
      <c r="B37" s="10" t="s">
        <v>207</v>
      </c>
      <c r="E37" s="30"/>
      <c r="F37" s="30"/>
      <c r="G37" s="30"/>
      <c r="H37" s="30"/>
      <c r="I37" s="30"/>
      <c r="K37" s="40"/>
      <c r="L37" s="40"/>
      <c r="M37" s="40"/>
    </row>
    <row r="38" spans="1:13">
      <c r="B38" s="2" t="s">
        <v>202</v>
      </c>
      <c r="C38" s="99" t="s">
        <v>294</v>
      </c>
      <c r="D38" s="99"/>
      <c r="E38" s="30"/>
      <c r="F38" s="30"/>
      <c r="G38" s="30"/>
      <c r="H38" s="30"/>
      <c r="I38" s="30"/>
      <c r="K38" s="40"/>
      <c r="L38" s="40"/>
      <c r="M38" s="40"/>
    </row>
    <row r="39" spans="1:13">
      <c r="B39" s="2" t="s">
        <v>455</v>
      </c>
      <c r="C39" s="2" t="s">
        <v>176</v>
      </c>
      <c r="E39" s="121">
        <v>159750.00630394404</v>
      </c>
      <c r="F39" s="121">
        <v>164244.56097613048</v>
      </c>
      <c r="G39" s="121">
        <v>168865.56961328789</v>
      </c>
      <c r="H39" s="121">
        <v>173616.58998841565</v>
      </c>
      <c r="I39" s="121">
        <v>178501.27997219466</v>
      </c>
      <c r="K39" s="40"/>
      <c r="L39" s="40"/>
      <c r="M39" s="40"/>
    </row>
    <row r="40" spans="1:13">
      <c r="B40" s="2" t="s">
        <v>91</v>
      </c>
      <c r="C40" s="2" t="s">
        <v>94</v>
      </c>
      <c r="E40" s="121">
        <v>21199760.402344353</v>
      </c>
      <c r="F40" s="121">
        <v>24866873.947092272</v>
      </c>
      <c r="G40" s="121">
        <v>24865055.323418897</v>
      </c>
      <c r="H40" s="121">
        <v>24862741.512524351</v>
      </c>
      <c r="I40" s="121">
        <v>24861858.785621613</v>
      </c>
      <c r="K40" s="14">
        <f>SUM(E40:I41)</f>
        <v>211061401.64112157</v>
      </c>
      <c r="L40" s="14">
        <f>K40/5</f>
        <v>42212280.328224316</v>
      </c>
      <c r="M40" s="42">
        <f>L40/$L$16-1</f>
        <v>-4.7069475759454749E-2</v>
      </c>
    </row>
    <row r="41" spans="1:13">
      <c r="B41" s="2" t="s">
        <v>92</v>
      </c>
      <c r="C41" s="2" t="s">
        <v>94</v>
      </c>
      <c r="E41" s="121">
        <v>19664650.542226665</v>
      </c>
      <c r="F41" s="121">
        <v>17690990.278004497</v>
      </c>
      <c r="G41" s="121">
        <v>17687092.384302612</v>
      </c>
      <c r="H41" s="121">
        <v>17682134.692846291</v>
      </c>
      <c r="I41" s="121">
        <v>17680243.772739999</v>
      </c>
      <c r="K41" s="40"/>
      <c r="L41" s="40"/>
      <c r="M41" s="40"/>
    </row>
    <row r="42" spans="1:13">
      <c r="B42" s="2" t="s">
        <v>456</v>
      </c>
      <c r="C42" s="2" t="s">
        <v>176</v>
      </c>
      <c r="E42" s="121">
        <v>154253.9927790752</v>
      </c>
      <c r="F42" s="121">
        <v>158640.8877649635</v>
      </c>
      <c r="G42" s="121">
        <v>158640.8877649635</v>
      </c>
      <c r="H42" s="121">
        <v>158640.8877649635</v>
      </c>
      <c r="I42" s="121">
        <v>158640.8877649635</v>
      </c>
      <c r="K42" s="40"/>
      <c r="L42" s="40"/>
      <c r="M42" s="40"/>
    </row>
    <row r="43" spans="1:13">
      <c r="B43" s="2" t="s">
        <v>95</v>
      </c>
      <c r="C43" s="2" t="s">
        <v>177</v>
      </c>
      <c r="E43" s="121">
        <v>63312.081524205125</v>
      </c>
      <c r="F43" s="121">
        <v>65112.640770554586</v>
      </c>
      <c r="G43" s="121">
        <v>65112.640770554586</v>
      </c>
      <c r="H43" s="121">
        <v>65112.640770554586</v>
      </c>
      <c r="I43" s="121">
        <v>65112.640770554586</v>
      </c>
      <c r="K43" s="40"/>
      <c r="L43" s="40"/>
      <c r="M43" s="40"/>
    </row>
    <row r="44" spans="1:13">
      <c r="E44" s="30"/>
      <c r="F44" s="30"/>
      <c r="G44" s="30"/>
      <c r="H44" s="30"/>
      <c r="I44" s="30"/>
      <c r="K44" s="40"/>
      <c r="L44" s="40"/>
      <c r="M44" s="40"/>
    </row>
    <row r="45" spans="1:13" ht="15.75">
      <c r="A45" s="11">
        <f>'2. Notes and Assumptions'!$B$48</f>
        <v>25</v>
      </c>
      <c r="B45" s="10" t="s">
        <v>209</v>
      </c>
      <c r="E45" s="30"/>
      <c r="F45" s="30"/>
      <c r="G45" s="30"/>
      <c r="H45" s="30"/>
      <c r="I45" s="30"/>
      <c r="K45" s="40"/>
      <c r="L45" s="40"/>
      <c r="M45" s="40"/>
    </row>
    <row r="46" spans="1:13">
      <c r="A46" s="2"/>
      <c r="B46" s="2" t="s">
        <v>202</v>
      </c>
      <c r="C46" s="99" t="s">
        <v>208</v>
      </c>
      <c r="D46" s="99"/>
      <c r="E46" s="30"/>
      <c r="F46" s="30"/>
      <c r="G46" s="30"/>
      <c r="H46" s="30"/>
      <c r="I46" s="30"/>
      <c r="K46" s="40"/>
      <c r="L46" s="40"/>
      <c r="M46" s="40"/>
    </row>
    <row r="47" spans="1:13">
      <c r="B47" s="2" t="s">
        <v>455</v>
      </c>
      <c r="C47" s="2" t="s">
        <v>176</v>
      </c>
      <c r="E47" s="121">
        <v>159126</v>
      </c>
      <c r="F47" s="121">
        <v>162578</v>
      </c>
      <c r="G47" s="121">
        <f>(F47/E47)*F47</f>
        <v>166104.88596458154</v>
      </c>
      <c r="H47" s="121">
        <f t="shared" ref="H47:I47" si="9">(G47/F47)*G47</f>
        <v>169708.28243247326</v>
      </c>
      <c r="I47" s="121">
        <f t="shared" si="9"/>
        <v>173389.84918433594</v>
      </c>
      <c r="K47" s="40"/>
      <c r="L47" s="40"/>
      <c r="M47" s="40"/>
    </row>
    <row r="48" spans="1:13">
      <c r="B48" s="2" t="s">
        <v>91</v>
      </c>
      <c r="C48" s="2" t="s">
        <v>94</v>
      </c>
      <c r="E48" s="121">
        <v>21200000</v>
      </c>
      <c r="F48" s="121">
        <v>21200000</v>
      </c>
      <c r="G48" s="121">
        <f t="shared" ref="G48:G51" si="10">(F48/E48)*F48</f>
        <v>21200000</v>
      </c>
      <c r="H48" s="121">
        <f t="shared" ref="H48:H51" si="11">(G48/F48)*G48</f>
        <v>21200000</v>
      </c>
      <c r="I48" s="121">
        <f t="shared" ref="I48:I51" si="12">(H48/G48)*H48</f>
        <v>21200000</v>
      </c>
      <c r="K48" s="14">
        <f>SUM(E48:I49)</f>
        <v>190000000</v>
      </c>
      <c r="L48" s="14">
        <f>K48/5</f>
        <v>38000000</v>
      </c>
      <c r="M48" s="42">
        <f>L48/$L$16-1</f>
        <v>-0.14216053623313063</v>
      </c>
    </row>
    <row r="49" spans="1:13">
      <c r="B49" s="2" t="s">
        <v>92</v>
      </c>
      <c r="C49" s="2" t="s">
        <v>94</v>
      </c>
      <c r="E49" s="121">
        <v>16800000</v>
      </c>
      <c r="F49" s="121">
        <v>16800000</v>
      </c>
      <c r="G49" s="121">
        <f t="shared" si="10"/>
        <v>16800000</v>
      </c>
      <c r="H49" s="121">
        <f t="shared" si="11"/>
        <v>16800000</v>
      </c>
      <c r="I49" s="121">
        <f t="shared" si="12"/>
        <v>16800000</v>
      </c>
      <c r="K49" s="40"/>
      <c r="L49" s="5"/>
      <c r="M49" s="40"/>
    </row>
    <row r="50" spans="1:13">
      <c r="B50" s="2" t="s">
        <v>456</v>
      </c>
      <c r="C50" s="2" t="s">
        <v>176</v>
      </c>
      <c r="E50" s="121">
        <v>153918</v>
      </c>
      <c r="F50" s="121">
        <v>157491</v>
      </c>
      <c r="G50" s="121">
        <f t="shared" ref="G50" si="13">(F50/E50)*F50</f>
        <v>161146.94240439715</v>
      </c>
      <c r="H50" s="121">
        <f t="shared" ref="H50" si="14">(G50/F50)*G50</f>
        <v>164887.75260990212</v>
      </c>
      <c r="I50" s="121">
        <f t="shared" ref="I50" si="15">(H50/G50)*H50</f>
        <v>168715.40070872864</v>
      </c>
      <c r="K50" s="40"/>
      <c r="L50" s="5"/>
      <c r="M50" s="5"/>
    </row>
    <row r="51" spans="1:13">
      <c r="B51" s="2" t="s">
        <v>95</v>
      </c>
      <c r="C51" s="2" t="s">
        <v>177</v>
      </c>
      <c r="E51" s="121">
        <v>61150</v>
      </c>
      <c r="F51" s="121">
        <v>62673</v>
      </c>
      <c r="G51" s="121">
        <f t="shared" si="10"/>
        <v>64233.931790678667</v>
      </c>
      <c r="H51" s="121">
        <f t="shared" si="11"/>
        <v>65833.740100036055</v>
      </c>
      <c r="I51" s="121">
        <f t="shared" si="12"/>
        <v>67473.393185438428</v>
      </c>
      <c r="K51" s="12"/>
    </row>
    <row r="52" spans="1:13">
      <c r="K52" s="12"/>
    </row>
    <row r="53" spans="1:13" ht="15.75">
      <c r="B53" s="10" t="s">
        <v>209</v>
      </c>
      <c r="E53" s="30"/>
      <c r="F53" s="30"/>
      <c r="G53" s="30"/>
      <c r="H53" s="30"/>
      <c r="I53" s="30"/>
      <c r="K53" s="40"/>
      <c r="L53" s="40"/>
      <c r="M53" s="40"/>
    </row>
    <row r="54" spans="1:13">
      <c r="B54" s="2" t="s">
        <v>202</v>
      </c>
      <c r="C54" s="99" t="s">
        <v>370</v>
      </c>
      <c r="D54" s="99"/>
      <c r="E54" s="30"/>
      <c r="F54" s="30"/>
      <c r="G54" s="30"/>
      <c r="H54" s="30"/>
      <c r="I54" s="30"/>
      <c r="K54" s="40"/>
      <c r="L54" s="40"/>
      <c r="M54" s="40"/>
    </row>
    <row r="55" spans="1:13">
      <c r="B55" s="2" t="s">
        <v>455</v>
      </c>
      <c r="C55" s="2" t="s">
        <v>176</v>
      </c>
      <c r="E55" s="121">
        <v>162951</v>
      </c>
      <c r="F55" s="121">
        <v>166992</v>
      </c>
      <c r="G55" s="121">
        <v>171134</v>
      </c>
      <c r="H55" s="121">
        <v>175378</v>
      </c>
      <c r="I55" s="121">
        <v>179728</v>
      </c>
      <c r="K55" s="40"/>
      <c r="L55" s="40"/>
      <c r="M55" s="40"/>
    </row>
    <row r="56" spans="1:13">
      <c r="B56" s="2" t="s">
        <v>91</v>
      </c>
      <c r="C56" s="2" t="s">
        <v>94</v>
      </c>
      <c r="E56" s="121">
        <v>23760000</v>
      </c>
      <c r="F56" s="121">
        <v>23924167.344089504</v>
      </c>
      <c r="G56" s="121">
        <v>24762007.636644151</v>
      </c>
      <c r="H56" s="121">
        <v>25277492.122245029</v>
      </c>
      <c r="I56" s="121">
        <v>25745104.005188998</v>
      </c>
      <c r="K56" s="14">
        <f>SUM(E56:I57)</f>
        <v>209115745.62527817</v>
      </c>
      <c r="L56" s="14">
        <f>K56/5</f>
        <v>41823149.125055633</v>
      </c>
      <c r="M56" s="42">
        <f>L56/$L$16-1</f>
        <v>-5.5854004776854205E-2</v>
      </c>
    </row>
    <row r="57" spans="1:13">
      <c r="B57" s="2" t="s">
        <v>92</v>
      </c>
      <c r="C57" s="2" t="s">
        <v>94</v>
      </c>
      <c r="E57" s="121">
        <v>18170000</v>
      </c>
      <c r="F57" s="121">
        <v>15622578.281188639</v>
      </c>
      <c r="G57" s="121">
        <v>17789992.363355849</v>
      </c>
      <c r="H57" s="121">
        <v>17267507.877754971</v>
      </c>
      <c r="I57" s="121">
        <v>16796895.994811002</v>
      </c>
      <c r="K57" s="40"/>
      <c r="L57" s="40"/>
      <c r="M57" s="40"/>
    </row>
    <row r="58" spans="1:13">
      <c r="B58" s="2" t="s">
        <v>456</v>
      </c>
      <c r="C58" s="2" t="s">
        <v>176</v>
      </c>
      <c r="E58" s="121">
        <v>162609</v>
      </c>
      <c r="F58" s="121">
        <v>166678</v>
      </c>
      <c r="G58" s="121">
        <v>170849</v>
      </c>
      <c r="H58" s="121">
        <v>175124</v>
      </c>
      <c r="I58" s="121">
        <v>179506</v>
      </c>
      <c r="K58" s="40"/>
      <c r="L58" s="40"/>
      <c r="M58" s="40"/>
    </row>
    <row r="59" spans="1:13">
      <c r="B59" s="2" t="s">
        <v>95</v>
      </c>
      <c r="C59" s="2" t="s">
        <v>177</v>
      </c>
      <c r="E59" s="121">
        <v>60274</v>
      </c>
      <c r="F59" s="121">
        <v>61597</v>
      </c>
      <c r="G59" s="121">
        <v>62949</v>
      </c>
      <c r="H59" s="121">
        <v>64331</v>
      </c>
      <c r="I59" s="121">
        <v>65743</v>
      </c>
      <c r="K59" s="40"/>
      <c r="L59" s="40"/>
      <c r="M59" s="40"/>
    </row>
    <row r="60" spans="1:13">
      <c r="E60" s="30"/>
      <c r="F60" s="30"/>
      <c r="G60" s="30"/>
      <c r="H60" s="30"/>
      <c r="I60" s="30"/>
      <c r="K60" s="40"/>
      <c r="L60" s="40"/>
      <c r="M60" s="40"/>
    </row>
    <row r="61" spans="1:13" ht="15.75">
      <c r="A61" s="11">
        <f>'2. Notes and Assumptions'!$B$75</f>
        <v>51</v>
      </c>
      <c r="B61" s="10" t="s">
        <v>353</v>
      </c>
      <c r="E61" s="30"/>
      <c r="F61" s="30"/>
      <c r="G61" s="30"/>
      <c r="H61" s="30"/>
      <c r="I61" s="30"/>
      <c r="K61" s="40"/>
      <c r="L61" s="40"/>
      <c r="M61" s="40"/>
    </row>
    <row r="62" spans="1:13">
      <c r="A62" s="2"/>
      <c r="B62" s="2" t="s">
        <v>202</v>
      </c>
      <c r="C62" s="99" t="s">
        <v>369</v>
      </c>
      <c r="D62" s="99"/>
      <c r="E62" s="30"/>
      <c r="F62" s="30"/>
      <c r="G62" s="30"/>
      <c r="H62" s="30"/>
      <c r="I62" s="30"/>
      <c r="K62" s="40"/>
      <c r="L62" s="40"/>
      <c r="M62" s="40"/>
    </row>
    <row r="63" spans="1:13">
      <c r="B63" s="2" t="s">
        <v>455</v>
      </c>
      <c r="C63" s="2" t="s">
        <v>176</v>
      </c>
      <c r="E63" s="121">
        <v>162951</v>
      </c>
      <c r="F63" s="121">
        <v>166992</v>
      </c>
      <c r="G63" s="121">
        <v>171134</v>
      </c>
      <c r="H63" s="121">
        <v>175378</v>
      </c>
      <c r="I63" s="121">
        <v>179728</v>
      </c>
      <c r="K63" s="40"/>
      <c r="L63" s="40"/>
      <c r="M63" s="40"/>
    </row>
    <row r="64" spans="1:13">
      <c r="B64" s="2" t="s">
        <v>91</v>
      </c>
      <c r="C64" s="2" t="s">
        <v>94</v>
      </c>
      <c r="E64" s="121">
        <v>23760000</v>
      </c>
      <c r="F64" s="121">
        <v>24527730</v>
      </c>
      <c r="G64" s="121">
        <v>25313508</v>
      </c>
      <c r="H64" s="121">
        <v>26042589</v>
      </c>
      <c r="I64" s="121">
        <v>26720228</v>
      </c>
      <c r="K64" s="14">
        <f>SUM(E64:I65)</f>
        <v>217705616</v>
      </c>
      <c r="L64" s="14">
        <f>K64/5</f>
        <v>43541123.200000003</v>
      </c>
      <c r="M64" s="42">
        <f>L64/$L$16-1</f>
        <v>-1.7071216376442155E-2</v>
      </c>
    </row>
    <row r="65" spans="2:13">
      <c r="B65" s="2" t="s">
        <v>92</v>
      </c>
      <c r="C65" s="2" t="s">
        <v>94</v>
      </c>
      <c r="E65" s="121">
        <v>18170000</v>
      </c>
      <c r="F65" s="121">
        <v>18618609</v>
      </c>
      <c r="G65" s="121">
        <v>18354602</v>
      </c>
      <c r="H65" s="121">
        <v>18162065</v>
      </c>
      <c r="I65" s="121">
        <v>18036285</v>
      </c>
      <c r="K65" s="40"/>
      <c r="L65" s="40"/>
      <c r="M65" s="40"/>
    </row>
    <row r="66" spans="2:13">
      <c r="B66" s="2" t="s">
        <v>456</v>
      </c>
      <c r="C66" s="2" t="s">
        <v>176</v>
      </c>
      <c r="E66" s="121">
        <v>162609</v>
      </c>
      <c r="F66" s="121">
        <v>166678</v>
      </c>
      <c r="G66" s="121">
        <v>170849</v>
      </c>
      <c r="H66" s="121">
        <v>175124</v>
      </c>
      <c r="I66" s="121">
        <v>179506</v>
      </c>
      <c r="K66" s="40"/>
      <c r="L66" s="40"/>
      <c r="M66" s="40"/>
    </row>
    <row r="67" spans="2:13">
      <c r="B67" s="2" t="s">
        <v>95</v>
      </c>
      <c r="C67" s="2" t="s">
        <v>177</v>
      </c>
      <c r="E67" s="121">
        <v>60274</v>
      </c>
      <c r="F67" s="121">
        <v>61597</v>
      </c>
      <c r="G67" s="121">
        <v>62949</v>
      </c>
      <c r="H67" s="121">
        <v>64331</v>
      </c>
      <c r="I67" s="121">
        <v>65743</v>
      </c>
      <c r="K67" s="40"/>
      <c r="L67" s="40"/>
      <c r="M67" s="40"/>
    </row>
    <row r="68" spans="2:13">
      <c r="E68" s="30"/>
      <c r="F68" s="30">
        <f>SUM(F64:F65)</f>
        <v>43146339</v>
      </c>
      <c r="G68" s="30">
        <f>SUM(G64:G65)</f>
        <v>43668110</v>
      </c>
      <c r="H68" s="30">
        <f>SUM(H64:H65)</f>
        <v>44204654</v>
      </c>
      <c r="I68" s="30">
        <f>SUM(I64:I65)</f>
        <v>44756513</v>
      </c>
      <c r="K68" s="40"/>
      <c r="L68" s="40"/>
      <c r="M68" s="40"/>
    </row>
    <row r="70" spans="2:13" ht="15.75">
      <c r="B70" s="10" t="s">
        <v>210</v>
      </c>
      <c r="F70" s="30">
        <f>F28-F68</f>
        <v>-2959427</v>
      </c>
      <c r="G70" s="30">
        <f t="shared" ref="G70:I70" si="16">G28-G68</f>
        <v>-3039916</v>
      </c>
      <c r="H70" s="30">
        <f t="shared" si="16"/>
        <v>-3160999</v>
      </c>
      <c r="I70" s="30">
        <f t="shared" si="16"/>
        <v>-3404833</v>
      </c>
    </row>
    <row r="71" spans="2:13" ht="15.75">
      <c r="C71" s="26" t="s">
        <v>202</v>
      </c>
      <c r="D71" s="27" t="s">
        <v>211</v>
      </c>
    </row>
    <row r="72" spans="2:13">
      <c r="C72" s="28" t="str">
        <f>C14</f>
        <v>Panel Draft Decision</v>
      </c>
      <c r="D72" s="119">
        <v>0</v>
      </c>
    </row>
    <row r="73" spans="2:13">
      <c r="C73" s="28" t="str">
        <f>C22</f>
        <v>Cardno - 95% POE</v>
      </c>
      <c r="D73" s="119">
        <f>D72+8</f>
        <v>8</v>
      </c>
    </row>
    <row r="74" spans="2:13">
      <c r="C74" s="28" t="str">
        <f>C30</f>
        <v>Cardno - 5% POE</v>
      </c>
      <c r="D74" s="119">
        <f t="shared" ref="D74:D78" si="17">D73+8</f>
        <v>16</v>
      </c>
    </row>
    <row r="75" spans="2:13">
      <c r="C75" s="28" t="str">
        <f>C38</f>
        <v>ACTEW SOFC</v>
      </c>
      <c r="D75" s="119">
        <f t="shared" si="17"/>
        <v>24</v>
      </c>
    </row>
    <row r="76" spans="2:13">
      <c r="C76" s="28" t="str">
        <f>C46</f>
        <v>ICRC</v>
      </c>
      <c r="D76" s="119">
        <f t="shared" si="17"/>
        <v>32</v>
      </c>
    </row>
    <row r="77" spans="2:13">
      <c r="C77" s="28" t="str">
        <f>C54</f>
        <v>ACTEW - Updated</v>
      </c>
      <c r="D77" s="119">
        <f t="shared" si="17"/>
        <v>40</v>
      </c>
    </row>
    <row r="78" spans="2:13">
      <c r="C78" s="29" t="str">
        <f>C62</f>
        <v>Panel Final Decision</v>
      </c>
      <c r="D78" s="120">
        <f t="shared" si="17"/>
        <v>48</v>
      </c>
    </row>
  </sheetData>
  <pageMargins left="0" right="0" top="0" bottom="0" header="0" footer="0"/>
  <pageSetup paperSize="9" scale="65"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2" id="{E9F7B3EC-E423-5E4B-9E85-41592B03342C}">
            <xm:f>'2. Notes and Assumptions'!$D$103="ERROR"</xm:f>
            <x14:dxf>
              <font>
                <strike val="0"/>
                <color rgb="FF000090"/>
              </font>
              <fill>
                <patternFill patternType="darkGrid">
                  <fgColor theme="0"/>
                  <bgColor rgb="FFFF6600"/>
                </patternFill>
              </fill>
            </x14:dxf>
          </x14:cfRule>
          <xm:sqref>A1:XFD1 A1:A1048576</xm:sqref>
        </x14:conditionalFormatting>
        <x14:conditionalFormatting xmlns:xm="http://schemas.microsoft.com/office/excel/2006/main">
          <x14:cfRule type="expression" priority="1" stopIfTrue="1" id="{A86E32B7-44E8-D946-901B-A2191F3DB780}">
            <xm:f>'2. Notes and Assumptions'!$D$92="ERROR"</xm:f>
            <x14:dxf>
              <font>
                <color theme="0"/>
              </font>
              <fill>
                <patternFill patternType="solid">
                  <fgColor indexed="64"/>
                  <bgColor rgb="FFFF0000"/>
                </patternFill>
              </fill>
            </x14:dxf>
          </x14:cfRule>
          <xm:sqref>A1:XFD1 A3:A1048576</xm:sqref>
        </x14:conditionalFormatting>
      </x14:conditionalFormattings>
    </ex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sheetPr codeName="Sheet12"/>
  <dimension ref="A1:P23"/>
  <sheetViews>
    <sheetView zoomScaleNormal="100" workbookViewId="0">
      <pane ySplit="4" topLeftCell="A5" activePane="bottomLeft" state="frozen"/>
      <selection pane="bottomLeft" activeCell="F26" sqref="F26"/>
    </sheetView>
  </sheetViews>
  <sheetFormatPr defaultColWidth="10.6640625" defaultRowHeight="15"/>
  <cols>
    <col min="1" max="1" width="30.6640625" style="35" customWidth="1"/>
    <col min="2" max="2" width="28.88671875" style="2" customWidth="1"/>
    <col min="3" max="3" width="16.6640625" style="2" customWidth="1"/>
    <col min="4" max="4" width="6.77734375" style="2" customWidth="1"/>
    <col min="5" max="5" width="7.77734375" style="2" customWidth="1"/>
    <col min="6" max="6" width="7.88671875" style="2" customWidth="1"/>
    <col min="7" max="7" width="7.21875" style="2" customWidth="1"/>
    <col min="8" max="8" width="7.5546875" style="2" customWidth="1"/>
    <col min="9" max="9" width="7.44140625" style="2" customWidth="1"/>
    <col min="10" max="16384" width="10.6640625" style="2"/>
  </cols>
  <sheetData>
    <row r="1" spans="1:16" s="6" customFormat="1" ht="20.25" customHeight="1">
      <c r="A1" s="92" t="s">
        <v>115</v>
      </c>
      <c r="B1" s="92"/>
      <c r="C1" s="92"/>
      <c r="D1" s="92"/>
      <c r="E1" s="92"/>
      <c r="F1" s="92"/>
      <c r="G1" s="92"/>
      <c r="H1" s="92"/>
    </row>
    <row r="2" spans="1:16" ht="18" customHeight="1">
      <c r="A2" s="3" t="str">
        <f ca="1">MID(CELL("filename",A1),FIND("]",CELL("filename",A1))+1,LEN(CELL("filename",A1))-FIND("]",CELL("filename",A1)))</f>
        <v xml:space="preserve">6. Prior Price Year Adjustment </v>
      </c>
      <c r="B2" s="3"/>
      <c r="C2" s="3"/>
      <c r="D2" s="3"/>
      <c r="E2" s="3"/>
      <c r="F2" s="3"/>
      <c r="G2" s="3"/>
      <c r="H2" s="3"/>
    </row>
    <row r="3" spans="1:16" s="6" customFormat="1">
      <c r="A3" s="35"/>
      <c r="B3" s="36"/>
      <c r="C3" s="16" t="s">
        <v>0</v>
      </c>
      <c r="D3" s="17">
        <v>0</v>
      </c>
      <c r="E3" s="17">
        <v>1</v>
      </c>
      <c r="F3" s="17">
        <v>2</v>
      </c>
      <c r="G3" s="17">
        <v>3</v>
      </c>
      <c r="H3" s="17">
        <v>4</v>
      </c>
      <c r="I3" s="17">
        <v>5</v>
      </c>
      <c r="J3" s="2"/>
      <c r="K3" s="2"/>
      <c r="L3" s="2"/>
      <c r="M3" s="2"/>
      <c r="N3" s="2"/>
      <c r="O3" s="2"/>
      <c r="P3" s="2"/>
    </row>
    <row r="4" spans="1:16" s="6" customFormat="1">
      <c r="A4" s="35"/>
      <c r="B4" s="36"/>
      <c r="C4" s="18" t="s">
        <v>1</v>
      </c>
      <c r="D4" s="19" t="s">
        <v>162</v>
      </c>
      <c r="E4" s="19" t="s">
        <v>10</v>
      </c>
      <c r="F4" s="19" t="s">
        <v>11</v>
      </c>
      <c r="G4" s="19" t="s">
        <v>2</v>
      </c>
      <c r="H4" s="19" t="s">
        <v>3</v>
      </c>
      <c r="I4" s="19" t="s">
        <v>4</v>
      </c>
      <c r="J4" s="2"/>
      <c r="K4" s="2"/>
      <c r="L4" s="2"/>
      <c r="M4" s="2"/>
      <c r="N4" s="2"/>
      <c r="O4" s="2"/>
      <c r="P4" s="2"/>
    </row>
    <row r="5" spans="1:16" ht="15.75">
      <c r="A5" s="35">
        <f>'2. Notes and Assumptions'!B74</f>
        <v>50</v>
      </c>
      <c r="B5" s="10" t="s">
        <v>200</v>
      </c>
    </row>
    <row r="6" spans="1:16">
      <c r="B6" s="2" t="s">
        <v>202</v>
      </c>
      <c r="C6" s="98" t="str">
        <f>'2. Notes and Assumptions'!C19</f>
        <v>ICRC Adjustment</v>
      </c>
      <c r="D6" s="99"/>
    </row>
    <row r="7" spans="1:16">
      <c r="B7" s="2" t="s">
        <v>366</v>
      </c>
      <c r="C7" s="2" t="s">
        <v>104</v>
      </c>
      <c r="E7" s="24">
        <f t="shared" ref="E7:I8" ca="1" si="0">OFFSET(E12,VLOOKUP($C$6,$B$22:$C$23,2,FALSE),0)</f>
        <v>0.11898417039283569</v>
      </c>
      <c r="F7" s="24">
        <f t="shared" ca="1" si="0"/>
        <v>0.11898417039283569</v>
      </c>
      <c r="G7" s="24">
        <f t="shared" ca="1" si="0"/>
        <v>0.11898417039283569</v>
      </c>
      <c r="H7" s="24">
        <f t="shared" ca="1" si="0"/>
        <v>0.11898417039283569</v>
      </c>
      <c r="I7" s="24">
        <f t="shared" ca="1" si="0"/>
        <v>0.11898417039283569</v>
      </c>
    </row>
    <row r="8" spans="1:16">
      <c r="B8" s="2" t="s">
        <v>367</v>
      </c>
      <c r="C8" s="2" t="s">
        <v>104</v>
      </c>
      <c r="E8" s="24">
        <f t="shared" ca="1" si="0"/>
        <v>9.436526842518618E-2</v>
      </c>
      <c r="F8" s="24">
        <f t="shared" ca="1" si="0"/>
        <v>9.436526842518618E-2</v>
      </c>
      <c r="G8" s="24">
        <f t="shared" ca="1" si="0"/>
        <v>9.436526842518618E-2</v>
      </c>
      <c r="H8" s="24">
        <f t="shared" ca="1" si="0"/>
        <v>9.436526842518618E-2</v>
      </c>
      <c r="I8" s="24">
        <f t="shared" ca="1" si="0"/>
        <v>9.436526842518618E-2</v>
      </c>
    </row>
    <row r="10" spans="1:16" ht="15.75">
      <c r="B10" s="10" t="s">
        <v>363</v>
      </c>
    </row>
    <row r="11" spans="1:16">
      <c r="B11" s="2" t="s">
        <v>202</v>
      </c>
      <c r="C11" s="99" t="s">
        <v>246</v>
      </c>
      <c r="D11" s="99"/>
    </row>
    <row r="12" spans="1:16">
      <c r="B12" s="2" t="s">
        <v>366</v>
      </c>
      <c r="C12" s="2" t="s">
        <v>104</v>
      </c>
      <c r="E12" s="128">
        <v>0</v>
      </c>
      <c r="F12" s="128">
        <v>0</v>
      </c>
      <c r="G12" s="128">
        <v>0</v>
      </c>
      <c r="H12" s="128">
        <v>0</v>
      </c>
      <c r="I12" s="128">
        <v>0</v>
      </c>
    </row>
    <row r="13" spans="1:16">
      <c r="B13" s="2" t="s">
        <v>367</v>
      </c>
      <c r="C13" s="2" t="s">
        <v>104</v>
      </c>
      <c r="E13" s="128">
        <v>0</v>
      </c>
      <c r="F13" s="128">
        <v>0</v>
      </c>
      <c r="G13" s="128">
        <v>0</v>
      </c>
      <c r="H13" s="128">
        <v>0</v>
      </c>
      <c r="I13" s="128">
        <v>0</v>
      </c>
    </row>
    <row r="14" spans="1:16">
      <c r="E14" s="30"/>
      <c r="F14" s="30"/>
      <c r="G14" s="30"/>
      <c r="H14" s="30"/>
      <c r="I14" s="30"/>
    </row>
    <row r="15" spans="1:16" ht="15.75">
      <c r="B15" s="10" t="s">
        <v>364</v>
      </c>
      <c r="I15" s="30"/>
    </row>
    <row r="16" spans="1:16">
      <c r="B16" s="2" t="s">
        <v>202</v>
      </c>
      <c r="C16" s="99" t="s">
        <v>365</v>
      </c>
      <c r="D16" s="99"/>
      <c r="E16" s="30"/>
      <c r="F16" s="30"/>
      <c r="G16" s="30"/>
      <c r="H16" s="30"/>
      <c r="I16" s="30"/>
    </row>
    <row r="17" spans="1:9">
      <c r="A17" s="35">
        <f>'2. Notes and Assumptions'!B79</f>
        <v>55</v>
      </c>
      <c r="B17" s="2" t="s">
        <v>366</v>
      </c>
      <c r="C17" s="2" t="s">
        <v>104</v>
      </c>
      <c r="E17" s="128">
        <v>0.11898417039283569</v>
      </c>
      <c r="F17" s="128">
        <v>0.11898417039283569</v>
      </c>
      <c r="G17" s="128">
        <v>0.11898417039283569</v>
      </c>
      <c r="H17" s="128">
        <v>0.11898417039283569</v>
      </c>
      <c r="I17" s="128">
        <v>0.11898417039283569</v>
      </c>
    </row>
    <row r="18" spans="1:9">
      <c r="B18" s="2" t="s">
        <v>367</v>
      </c>
      <c r="C18" s="2" t="s">
        <v>104</v>
      </c>
      <c r="E18" s="128">
        <v>9.436526842518618E-2</v>
      </c>
      <c r="F18" s="128">
        <v>9.436526842518618E-2</v>
      </c>
      <c r="G18" s="128">
        <v>9.436526842518618E-2</v>
      </c>
      <c r="H18" s="128">
        <v>9.436526842518618E-2</v>
      </c>
      <c r="I18" s="128">
        <v>9.436526842518618E-2</v>
      </c>
    </row>
    <row r="19" spans="1:9">
      <c r="E19" s="30"/>
      <c r="F19" s="30"/>
      <c r="G19" s="30"/>
      <c r="H19" s="30"/>
      <c r="I19" s="30"/>
    </row>
    <row r="20" spans="1:9" ht="15.75">
      <c r="B20" s="151" t="s">
        <v>368</v>
      </c>
    </row>
    <row r="21" spans="1:9" ht="15.75">
      <c r="B21" s="26" t="s">
        <v>202</v>
      </c>
      <c r="C21" s="150" t="s">
        <v>211</v>
      </c>
    </row>
    <row r="22" spans="1:9">
      <c r="B22" s="28" t="str">
        <f>C11</f>
        <v>Panel Draft Decision</v>
      </c>
      <c r="C22" s="147">
        <v>0</v>
      </c>
    </row>
    <row r="23" spans="1:9">
      <c r="B23" s="29" t="str">
        <f>C16</f>
        <v>ICRC Adjustment</v>
      </c>
      <c r="C23" s="148">
        <v>5</v>
      </c>
    </row>
  </sheetData>
  <pageMargins left="0" right="0" top="0" bottom="0" header="0" footer="0"/>
  <pageSetup paperSize="9" scale="85"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2" id="{FA559584-B91E-6D42-A2E8-A09B9793B06D}">
            <xm:f>'2. Notes and Assumptions'!$D$103="ERROR"</xm:f>
            <x14:dxf>
              <font>
                <strike val="0"/>
                <color rgb="FF000090"/>
              </font>
              <fill>
                <patternFill patternType="darkGrid">
                  <fgColor theme="0"/>
                  <bgColor rgb="FFFF6600"/>
                </patternFill>
              </fill>
            </x14:dxf>
          </x14:cfRule>
          <xm:sqref>A1:XFD1 A1:A1048576</xm:sqref>
        </x14:conditionalFormatting>
        <x14:conditionalFormatting xmlns:xm="http://schemas.microsoft.com/office/excel/2006/main">
          <x14:cfRule type="expression" priority="1" stopIfTrue="1" id="{D8EDF3F3-0051-D84F-A8A1-4B82770E5070}">
            <xm:f>'2. Notes and Assumptions'!$D$92="ERROR"</xm:f>
            <x14:dxf>
              <font>
                <color theme="0"/>
              </font>
              <fill>
                <patternFill patternType="solid">
                  <fgColor indexed="64"/>
                  <bgColor rgb="FFFF0000"/>
                </patternFill>
              </fill>
            </x14:dxf>
          </x14:cfRule>
          <xm:sqref>A1:XFD1 A3:A1048576</xm:sqref>
        </x14:conditionalFormatting>
      </x14:conditionalFormattings>
    </ex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sheetPr codeName="Sheet8"/>
  <dimension ref="A1:AG98"/>
  <sheetViews>
    <sheetView zoomScaleNormal="100" workbookViewId="0">
      <pane ySplit="4" topLeftCell="A5" activePane="bottomLeft" state="frozen"/>
      <selection pane="bottomLeft" activeCell="B39" sqref="B39"/>
    </sheetView>
  </sheetViews>
  <sheetFormatPr defaultColWidth="10.6640625" defaultRowHeight="15"/>
  <cols>
    <col min="1" max="1" width="31.109375" style="35" customWidth="1"/>
    <col min="2" max="2" width="34" style="2" customWidth="1"/>
    <col min="3" max="4" width="10.6640625" style="2"/>
    <col min="5" max="9" width="13.5546875" style="2" customWidth="1"/>
    <col min="10" max="16384" width="10.6640625" style="2"/>
  </cols>
  <sheetData>
    <row r="1" spans="1:33" s="6" customFormat="1" ht="21" customHeight="1">
      <c r="A1" s="92" t="s">
        <v>115</v>
      </c>
      <c r="B1" s="92"/>
      <c r="C1" s="92"/>
      <c r="D1" s="92"/>
      <c r="E1" s="92"/>
      <c r="F1" s="92"/>
      <c r="G1" s="92"/>
      <c r="H1" s="92"/>
    </row>
    <row r="2" spans="1:33" ht="18" customHeight="1">
      <c r="A2" s="3" t="str">
        <f ca="1">MID(CELL("filename",A1),FIND("]",CELL("filename",A1))+1,LEN(CELL("filename",A1))-FIND("]",CELL("filename",A1)))</f>
        <v>7. Uriarra CSO Calculation</v>
      </c>
      <c r="B2" s="3"/>
      <c r="C2" s="3"/>
      <c r="D2" s="3"/>
      <c r="E2" s="3"/>
      <c r="F2" s="3"/>
      <c r="G2" s="3"/>
      <c r="H2" s="3"/>
    </row>
    <row r="3" spans="1:33" s="6" customFormat="1">
      <c r="A3" s="35">
        <f>'2. Notes and Assumptions'!B51</f>
        <v>28</v>
      </c>
      <c r="B3" s="36"/>
      <c r="C3" s="16" t="s">
        <v>0</v>
      </c>
      <c r="D3" s="17">
        <v>0</v>
      </c>
      <c r="E3" s="17">
        <v>1</v>
      </c>
      <c r="F3" s="17">
        <v>2</v>
      </c>
      <c r="G3" s="17">
        <v>3</v>
      </c>
      <c r="H3" s="17">
        <v>4</v>
      </c>
      <c r="I3" s="17">
        <v>5</v>
      </c>
      <c r="J3" s="2"/>
      <c r="K3" s="2"/>
      <c r="L3" s="2"/>
      <c r="M3" s="2"/>
      <c r="N3" s="2"/>
      <c r="O3" s="2"/>
      <c r="P3" s="2"/>
      <c r="Q3" s="2"/>
      <c r="R3" s="2"/>
      <c r="S3" s="2"/>
      <c r="T3" s="2"/>
      <c r="U3" s="2"/>
      <c r="V3" s="2"/>
      <c r="W3" s="2"/>
      <c r="X3" s="2"/>
      <c r="Y3" s="2"/>
      <c r="Z3" s="2"/>
      <c r="AA3" s="2"/>
      <c r="AB3" s="2"/>
      <c r="AC3" s="2"/>
      <c r="AD3" s="2"/>
      <c r="AE3" s="2"/>
      <c r="AF3" s="2"/>
      <c r="AG3" s="2"/>
    </row>
    <row r="4" spans="1:33" s="6" customFormat="1">
      <c r="B4" s="36"/>
      <c r="C4" s="18" t="s">
        <v>1</v>
      </c>
      <c r="D4" s="19" t="s">
        <v>162</v>
      </c>
      <c r="E4" s="19" t="s">
        <v>10</v>
      </c>
      <c r="F4" s="19" t="s">
        <v>11</v>
      </c>
      <c r="G4" s="19" t="s">
        <v>2</v>
      </c>
      <c r="H4" s="19" t="s">
        <v>3</v>
      </c>
      <c r="I4" s="19" t="s">
        <v>4</v>
      </c>
      <c r="J4" s="2"/>
      <c r="K4" s="2"/>
      <c r="L4" s="2"/>
      <c r="M4" s="2"/>
      <c r="N4" s="2"/>
      <c r="O4" s="2"/>
      <c r="P4" s="2"/>
      <c r="Q4" s="2"/>
      <c r="R4" s="2"/>
      <c r="S4" s="2"/>
      <c r="T4" s="2"/>
      <c r="U4" s="2"/>
      <c r="V4" s="2"/>
      <c r="W4" s="2"/>
      <c r="X4" s="2"/>
      <c r="Y4" s="2"/>
      <c r="Z4" s="2"/>
      <c r="AA4" s="2"/>
      <c r="AB4" s="2"/>
      <c r="AC4" s="2"/>
      <c r="AD4" s="2"/>
      <c r="AE4" s="2"/>
      <c r="AF4" s="2"/>
      <c r="AG4" s="2"/>
    </row>
    <row r="5" spans="1:33" ht="15.75">
      <c r="B5" s="22" t="s">
        <v>163</v>
      </c>
    </row>
    <row r="6" spans="1:33">
      <c r="B6" s="2" t="s">
        <v>303</v>
      </c>
      <c r="C6" s="5" t="s">
        <v>104</v>
      </c>
      <c r="E6" s="43">
        <f ca="1">'3. General Model Inputs'!E8</f>
        <v>2.5000000000000001E-2</v>
      </c>
      <c r="F6" s="43">
        <f ca="1">'3. General Model Inputs'!F8</f>
        <v>2.5000000000000001E-2</v>
      </c>
      <c r="G6" s="43">
        <f ca="1">'3. General Model Inputs'!G8</f>
        <v>2.5000000000000001E-2</v>
      </c>
      <c r="H6" s="43">
        <f ca="1">'3. General Model Inputs'!H8</f>
        <v>2.5000000000000001E-2</v>
      </c>
      <c r="I6" s="43">
        <f ca="1">'3. General Model Inputs'!I8</f>
        <v>2.5000000000000001E-2</v>
      </c>
    </row>
    <row r="7" spans="1:33">
      <c r="B7" s="2" t="s">
        <v>25</v>
      </c>
      <c r="C7" s="5" t="s">
        <v>104</v>
      </c>
      <c r="E7" s="43">
        <f ca="1">'3. General Model Inputs'!E9</f>
        <v>7.1999999999999995E-2</v>
      </c>
      <c r="F7" s="43">
        <f ca="1">'3. General Model Inputs'!F9</f>
        <v>7.1999999999999995E-2</v>
      </c>
      <c r="G7" s="43">
        <f ca="1">'3. General Model Inputs'!G9</f>
        <v>7.1999999999999995E-2</v>
      </c>
      <c r="H7" s="43">
        <f ca="1">'3. General Model Inputs'!H9</f>
        <v>7.1999999999999995E-2</v>
      </c>
      <c r="I7" s="43">
        <f ca="1">'3. General Model Inputs'!I9</f>
        <v>7.1999999999999995E-2</v>
      </c>
    </row>
    <row r="8" spans="1:33">
      <c r="B8" s="2" t="s">
        <v>23</v>
      </c>
      <c r="C8" s="5" t="s">
        <v>104</v>
      </c>
      <c r="E8" s="43">
        <f ca="1">'3. General Model Inputs'!E10</f>
        <v>6.4750000000000002E-2</v>
      </c>
      <c r="F8" s="43">
        <f ca="1">'3. General Model Inputs'!F10</f>
        <v>6.4750000000000002E-2</v>
      </c>
      <c r="G8" s="43">
        <f ca="1">'3. General Model Inputs'!G10</f>
        <v>6.4750000000000002E-2</v>
      </c>
      <c r="H8" s="43">
        <f ca="1">'3. General Model Inputs'!H10</f>
        <v>6.4750000000000002E-2</v>
      </c>
      <c r="I8" s="43">
        <f ca="1">'3. General Model Inputs'!I10</f>
        <v>6.4750000000000002E-2</v>
      </c>
    </row>
    <row r="9" spans="1:33">
      <c r="B9" s="2" t="s">
        <v>453</v>
      </c>
      <c r="C9" s="5" t="s">
        <v>104</v>
      </c>
      <c r="E9" s="44">
        <f ca="1">'3. General Model Inputs'!E11</f>
        <v>0.3</v>
      </c>
      <c r="F9" s="44">
        <f ca="1">'3. General Model Inputs'!F11</f>
        <v>0.3</v>
      </c>
      <c r="G9" s="44">
        <f ca="1">'3. General Model Inputs'!G11</f>
        <v>0.3</v>
      </c>
      <c r="H9" s="44">
        <f ca="1">'3. General Model Inputs'!H11</f>
        <v>0.3</v>
      </c>
      <c r="I9" s="44">
        <f ca="1">'3. General Model Inputs'!I11</f>
        <v>0.3</v>
      </c>
    </row>
    <row r="10" spans="1:33">
      <c r="B10" s="2" t="s">
        <v>24</v>
      </c>
      <c r="C10" s="5" t="s">
        <v>104</v>
      </c>
      <c r="E10" s="44">
        <f ca="1">'3. General Model Inputs'!E12</f>
        <v>0.6</v>
      </c>
      <c r="F10" s="44">
        <f ca="1">'3. General Model Inputs'!F12</f>
        <v>0.6</v>
      </c>
      <c r="G10" s="44">
        <f ca="1">'3. General Model Inputs'!G12</f>
        <v>0.6</v>
      </c>
      <c r="H10" s="44">
        <f ca="1">'3. General Model Inputs'!H12</f>
        <v>0.6</v>
      </c>
      <c r="I10" s="44">
        <f ca="1">'3. General Model Inputs'!I12</f>
        <v>0.6</v>
      </c>
    </row>
    <row r="11" spans="1:33">
      <c r="B11" s="2" t="s">
        <v>64</v>
      </c>
      <c r="E11" s="25">
        <f ca="1">'3. General Model Inputs'!E13</f>
        <v>0.5</v>
      </c>
      <c r="F11" s="25">
        <f ca="1">'3. General Model Inputs'!F13</f>
        <v>0.5</v>
      </c>
      <c r="G11" s="25">
        <f ca="1">'3. General Model Inputs'!G13</f>
        <v>0.5</v>
      </c>
      <c r="H11" s="25">
        <f ca="1">'3. General Model Inputs'!H13</f>
        <v>0.5</v>
      </c>
      <c r="I11" s="25">
        <f ca="1">'3. General Model Inputs'!I13</f>
        <v>0.5</v>
      </c>
    </row>
    <row r="12" spans="1:33">
      <c r="B12" s="2" t="s">
        <v>22</v>
      </c>
      <c r="E12" s="45">
        <v>1</v>
      </c>
      <c r="F12" s="45">
        <f ca="1">E12/(1+F7)</f>
        <v>0.93283582089552231</v>
      </c>
      <c r="G12" s="45">
        <f ca="1">F12/(1+G7)</f>
        <v>0.87018266874582295</v>
      </c>
      <c r="H12" s="45">
        <f ca="1">G12/(1+H7)</f>
        <v>0.81173756412856612</v>
      </c>
      <c r="I12" s="45">
        <f ca="1">H12/(1+I7)</f>
        <v>0.75721787698560272</v>
      </c>
    </row>
    <row r="13" spans="1:33">
      <c r="E13" s="45"/>
      <c r="F13" s="45"/>
      <c r="G13" s="45"/>
      <c r="H13" s="45"/>
      <c r="I13" s="45"/>
    </row>
    <row r="14" spans="1:33" ht="15.75">
      <c r="A14" s="35">
        <f>'2. Notes and Assumptions'!B56</f>
        <v>33</v>
      </c>
      <c r="B14" s="10" t="s">
        <v>256</v>
      </c>
      <c r="E14" s="121">
        <v>100</v>
      </c>
      <c r="F14" s="121">
        <v>100</v>
      </c>
      <c r="G14" s="121">
        <v>100</v>
      </c>
      <c r="H14" s="121">
        <v>100</v>
      </c>
      <c r="I14" s="121">
        <v>100</v>
      </c>
    </row>
    <row r="16" spans="1:33" ht="15.75">
      <c r="A16" s="35">
        <f>'2. Notes and Assumptions'!B61</f>
        <v>37</v>
      </c>
      <c r="B16" s="10" t="s">
        <v>279</v>
      </c>
    </row>
    <row r="17" spans="1:9">
      <c r="B17" s="2" t="s">
        <v>250</v>
      </c>
      <c r="E17" s="121">
        <v>30</v>
      </c>
      <c r="F17" s="30">
        <f>IF(E17&gt;=1,E17-1,0)</f>
        <v>29</v>
      </c>
      <c r="G17" s="30">
        <f t="shared" ref="G17:I17" si="0">IF(F17&gt;=1,F17-1,0)</f>
        <v>28</v>
      </c>
      <c r="H17" s="30">
        <f t="shared" si="0"/>
        <v>27</v>
      </c>
      <c r="I17" s="30">
        <f t="shared" si="0"/>
        <v>26</v>
      </c>
    </row>
    <row r="18" spans="1:9">
      <c r="B18" s="6" t="s">
        <v>116</v>
      </c>
      <c r="C18" s="6"/>
      <c r="E18" s="121">
        <f>4117.42277827922*1000</f>
        <v>4117422.7782792202</v>
      </c>
      <c r="F18" s="46">
        <f ca="1">E23</f>
        <v>4079679.7361449935</v>
      </c>
      <c r="G18" s="46">
        <f t="shared" ref="G18:I18" ca="1" si="1">F23</f>
        <v>4037476.1526676314</v>
      </c>
      <c r="H18" s="46">
        <f t="shared" ca="1" si="1"/>
        <v>3990612.5901813107</v>
      </c>
      <c r="I18" s="46">
        <f t="shared" ca="1" si="1"/>
        <v>3938882.4269752568</v>
      </c>
    </row>
    <row r="19" spans="1:9">
      <c r="B19" s="6" t="s">
        <v>252</v>
      </c>
      <c r="C19" s="6"/>
      <c r="E19" s="121">
        <v>0</v>
      </c>
      <c r="F19" s="121">
        <v>0</v>
      </c>
      <c r="G19" s="121">
        <v>0</v>
      </c>
      <c r="H19" s="121">
        <v>0</v>
      </c>
      <c r="I19" s="121">
        <v>0</v>
      </c>
    </row>
    <row r="20" spans="1:9">
      <c r="B20" s="6" t="s">
        <v>253</v>
      </c>
      <c r="C20" s="6"/>
      <c r="E20" s="121">
        <v>0</v>
      </c>
      <c r="F20" s="121">
        <v>0</v>
      </c>
      <c r="G20" s="121">
        <v>0</v>
      </c>
      <c r="H20" s="121">
        <v>0</v>
      </c>
      <c r="I20" s="121">
        <v>0</v>
      </c>
    </row>
    <row r="21" spans="1:9">
      <c r="B21" s="6" t="s">
        <v>12</v>
      </c>
      <c r="C21" s="6"/>
      <c r="E21" s="46">
        <f ca="1">E6*SUM(E18:E20)</f>
        <v>102935.56945698051</v>
      </c>
      <c r="F21" s="46">
        <f t="shared" ref="F21:I21" ca="1" si="2">F6*F18</f>
        <v>101991.99340362485</v>
      </c>
      <c r="G21" s="46">
        <f t="shared" ca="1" si="2"/>
        <v>100936.90381669078</v>
      </c>
      <c r="H21" s="46">
        <f t="shared" ca="1" si="2"/>
        <v>99765.314754532767</v>
      </c>
      <c r="I21" s="46">
        <f t="shared" ca="1" si="2"/>
        <v>98472.060674381428</v>
      </c>
    </row>
    <row r="22" spans="1:9">
      <c r="B22" s="6" t="s">
        <v>13</v>
      </c>
      <c r="C22" s="6"/>
      <c r="E22" s="46">
        <f ca="1">IF(E17&gt;1,-SUM(E18:E21)/E17,-SUM(E18:E21))</f>
        <v>-140678.61159120669</v>
      </c>
      <c r="F22" s="46">
        <f t="shared" ref="F22:I22" ca="1" si="3">IF(F17&gt;1,-SUM(F18:F21)/F17,-SUM(F18:F21))</f>
        <v>-144195.57688098683</v>
      </c>
      <c r="G22" s="46">
        <f t="shared" ca="1" si="3"/>
        <v>-147800.46630301149</v>
      </c>
      <c r="H22" s="46">
        <f t="shared" ca="1" si="3"/>
        <v>-151495.47796058678</v>
      </c>
      <c r="I22" s="46">
        <f t="shared" ca="1" si="3"/>
        <v>-155282.86490960146</v>
      </c>
    </row>
    <row r="23" spans="1:9">
      <c r="B23" s="6" t="s">
        <v>118</v>
      </c>
      <c r="C23" s="6"/>
      <c r="E23" s="30">
        <f ca="1">SUM(E18:E22)</f>
        <v>4079679.7361449935</v>
      </c>
      <c r="F23" s="30">
        <f t="shared" ref="F23:I23" ca="1" si="4">SUM(F18:F22)</f>
        <v>4037476.1526676314</v>
      </c>
      <c r="G23" s="30">
        <f t="shared" ca="1" si="4"/>
        <v>3990612.5901813107</v>
      </c>
      <c r="H23" s="30">
        <f t="shared" ca="1" si="4"/>
        <v>3938882.4269752568</v>
      </c>
      <c r="I23" s="30">
        <f t="shared" ca="1" si="4"/>
        <v>3882071.6227400368</v>
      </c>
    </row>
    <row r="24" spans="1:9">
      <c r="B24" s="6"/>
      <c r="C24" s="6"/>
      <c r="E24" s="30"/>
      <c r="F24" s="30"/>
      <c r="G24" s="30"/>
      <c r="H24" s="30"/>
      <c r="I24" s="30"/>
    </row>
    <row r="25" spans="1:9">
      <c r="B25" s="6" t="s">
        <v>255</v>
      </c>
      <c r="C25" s="6"/>
      <c r="E25" s="30">
        <f>E18+0.5*E19</f>
        <v>4117422.7782792202</v>
      </c>
      <c r="F25" s="30">
        <f t="shared" ref="F25:I25" ca="1" si="5">F18</f>
        <v>4079679.7361449935</v>
      </c>
      <c r="G25" s="30">
        <f t="shared" ca="1" si="5"/>
        <v>4037476.1526676314</v>
      </c>
      <c r="H25" s="30">
        <f t="shared" ca="1" si="5"/>
        <v>3990612.5901813107</v>
      </c>
      <c r="I25" s="30">
        <f t="shared" ca="1" si="5"/>
        <v>3938882.4269752568</v>
      </c>
    </row>
    <row r="26" spans="1:9">
      <c r="C26" s="6"/>
      <c r="E26" s="30"/>
      <c r="F26" s="30"/>
      <c r="G26" s="30"/>
      <c r="H26" s="30"/>
      <c r="I26" s="30"/>
    </row>
    <row r="27" spans="1:9" ht="15.75">
      <c r="A27" s="35">
        <f>'2. Notes and Assumptions'!B62</f>
        <v>38</v>
      </c>
      <c r="B27" s="10" t="s">
        <v>251</v>
      </c>
    </row>
    <row r="28" spans="1:9">
      <c r="B28" s="2" t="s">
        <v>250</v>
      </c>
      <c r="E28" s="121">
        <f>E17</f>
        <v>30</v>
      </c>
      <c r="F28" s="30">
        <f>IF(E28&gt;=1,E28-1,0)</f>
        <v>29</v>
      </c>
      <c r="G28" s="30">
        <f t="shared" ref="G28:I28" si="6">IF(F28&gt;=1,F28-1,0)</f>
        <v>28</v>
      </c>
      <c r="H28" s="30">
        <f t="shared" si="6"/>
        <v>27</v>
      </c>
      <c r="I28" s="30">
        <f t="shared" si="6"/>
        <v>26</v>
      </c>
    </row>
    <row r="29" spans="1:9">
      <c r="B29" s="6" t="s">
        <v>116</v>
      </c>
      <c r="C29" s="6"/>
      <c r="E29" s="121">
        <f>3349.05576*1000</f>
        <v>3349055.7600000002</v>
      </c>
      <c r="F29" s="46">
        <f>E34</f>
        <v>3237420.5680000004</v>
      </c>
      <c r="G29" s="46">
        <f t="shared" ref="G29:I29" si="7">F34</f>
        <v>3125785.3760000006</v>
      </c>
      <c r="H29" s="46">
        <f t="shared" si="7"/>
        <v>3014150.1840000008</v>
      </c>
      <c r="I29" s="46">
        <f t="shared" si="7"/>
        <v>2902514.992000001</v>
      </c>
    </row>
    <row r="30" spans="1:9">
      <c r="B30" s="6" t="s">
        <v>252</v>
      </c>
      <c r="C30" s="6"/>
      <c r="E30" s="121">
        <v>0</v>
      </c>
      <c r="F30" s="121">
        <v>0</v>
      </c>
      <c r="G30" s="121">
        <v>0</v>
      </c>
      <c r="H30" s="121">
        <v>0</v>
      </c>
      <c r="I30" s="121">
        <v>0</v>
      </c>
    </row>
    <row r="31" spans="1:9">
      <c r="B31" s="6" t="s">
        <v>253</v>
      </c>
      <c r="C31" s="6"/>
      <c r="E31" s="121">
        <v>0</v>
      </c>
      <c r="F31" s="121">
        <v>0</v>
      </c>
      <c r="G31" s="121">
        <v>0</v>
      </c>
      <c r="H31" s="121">
        <v>0</v>
      </c>
      <c r="I31" s="121">
        <v>0</v>
      </c>
    </row>
    <row r="32" spans="1:9">
      <c r="B32" s="6" t="s">
        <v>254</v>
      </c>
      <c r="C32" s="6"/>
      <c r="E32" s="46"/>
      <c r="F32" s="46"/>
      <c r="G32" s="46"/>
      <c r="H32" s="46"/>
      <c r="I32" s="46"/>
    </row>
    <row r="33" spans="1:9">
      <c r="B33" s="6" t="s">
        <v>13</v>
      </c>
      <c r="C33" s="6"/>
      <c r="E33" s="46">
        <f>IF(E28&gt;1,-SUM(E29:E32)/E28,-SUM(E29:E32))</f>
        <v>-111635.19200000001</v>
      </c>
      <c r="F33" s="46">
        <f t="shared" ref="F33" si="8">IF(F28&gt;1,-SUM(F29:F32)/F28,-SUM(F29:F32))</f>
        <v>-111635.19200000001</v>
      </c>
      <c r="G33" s="46">
        <f t="shared" ref="G33" si="9">IF(G28&gt;1,-SUM(G29:G32)/G28,-SUM(G29:G32))</f>
        <v>-111635.19200000002</v>
      </c>
      <c r="H33" s="46">
        <f t="shared" ref="H33" si="10">IF(H28&gt;1,-SUM(H29:H32)/H28,-SUM(H29:H32))</f>
        <v>-111635.19200000002</v>
      </c>
      <c r="I33" s="46">
        <f t="shared" ref="I33" si="11">IF(I28&gt;1,-SUM(I29:I32)/I28,-SUM(I29:I32))</f>
        <v>-111635.19200000004</v>
      </c>
    </row>
    <row r="34" spans="1:9">
      <c r="B34" s="6" t="s">
        <v>118</v>
      </c>
      <c r="C34" s="6"/>
      <c r="E34" s="30">
        <f>SUM(E29:E33)</f>
        <v>3237420.5680000004</v>
      </c>
      <c r="F34" s="30">
        <f t="shared" ref="F34" si="12">SUM(F29:F33)</f>
        <v>3125785.3760000006</v>
      </c>
      <c r="G34" s="30">
        <f t="shared" ref="G34" si="13">SUM(G29:G33)</f>
        <v>3014150.1840000008</v>
      </c>
      <c r="H34" s="30">
        <f t="shared" ref="H34" si="14">SUM(H29:H33)</f>
        <v>2902514.992000001</v>
      </c>
      <c r="I34" s="30">
        <f t="shared" ref="I34" si="15">SUM(I29:I33)</f>
        <v>2790879.8000000007</v>
      </c>
    </row>
    <row r="35" spans="1:9">
      <c r="C35" s="6"/>
      <c r="E35" s="30"/>
      <c r="F35" s="30"/>
      <c r="G35" s="30"/>
      <c r="H35" s="30"/>
      <c r="I35" s="30"/>
    </row>
    <row r="36" spans="1:9">
      <c r="B36" s="47" t="s">
        <v>107</v>
      </c>
      <c r="C36" s="30"/>
      <c r="D36" s="30"/>
      <c r="E36" s="30"/>
      <c r="F36" s="30"/>
      <c r="G36" s="30"/>
      <c r="H36" s="30"/>
      <c r="I36" s="30"/>
    </row>
    <row r="37" spans="1:9">
      <c r="C37" s="30"/>
      <c r="D37" s="30"/>
      <c r="E37" s="30"/>
      <c r="F37" s="30"/>
      <c r="G37" s="30"/>
      <c r="H37" s="30"/>
      <c r="I37" s="30"/>
    </row>
    <row r="38" spans="1:9" ht="15.75">
      <c r="B38" s="10" t="s">
        <v>15</v>
      </c>
    </row>
    <row r="39" spans="1:9">
      <c r="B39" s="2" t="s">
        <v>16</v>
      </c>
      <c r="C39" s="103" t="s">
        <v>106</v>
      </c>
      <c r="D39" s="30"/>
      <c r="E39" s="30">
        <f>E25</f>
        <v>4117422.7782792202</v>
      </c>
      <c r="F39" s="30">
        <f t="shared" ref="F39:I39" ca="1" si="16">F25</f>
        <v>4079679.7361449935</v>
      </c>
      <c r="G39" s="30">
        <f t="shared" ca="1" si="16"/>
        <v>4037476.1526676314</v>
      </c>
      <c r="H39" s="30">
        <f t="shared" ca="1" si="16"/>
        <v>3990612.5901813107</v>
      </c>
      <c r="I39" s="30">
        <f t="shared" ca="1" si="16"/>
        <v>3938882.4269752568</v>
      </c>
    </row>
    <row r="40" spans="1:9">
      <c r="B40" s="2" t="s">
        <v>15</v>
      </c>
      <c r="C40" s="103" t="s">
        <v>106</v>
      </c>
      <c r="D40" s="30"/>
      <c r="E40" s="30">
        <f ca="1">E39*E$7</f>
        <v>296454.44003610383</v>
      </c>
      <c r="F40" s="30">
        <f t="shared" ref="F40:I40" ca="1" si="17">F39*F$7</f>
        <v>293736.94100243953</v>
      </c>
      <c r="G40" s="30">
        <f t="shared" ca="1" si="17"/>
        <v>290698.28299206943</v>
      </c>
      <c r="H40" s="30">
        <f t="shared" ca="1" si="17"/>
        <v>287324.10649305437</v>
      </c>
      <c r="I40" s="30">
        <f t="shared" ca="1" si="17"/>
        <v>283599.53474221844</v>
      </c>
    </row>
    <row r="41" spans="1:9">
      <c r="B41" s="2" t="s">
        <v>195</v>
      </c>
      <c r="C41" s="103" t="s">
        <v>106</v>
      </c>
      <c r="D41" s="30"/>
      <c r="E41" s="30">
        <f ca="1">-E21</f>
        <v>-102935.56945698051</v>
      </c>
      <c r="F41" s="30">
        <f t="shared" ref="F41:I41" ca="1" si="18">-F21</f>
        <v>-101991.99340362485</v>
      </c>
      <c r="G41" s="30">
        <f t="shared" ca="1" si="18"/>
        <v>-100936.90381669078</v>
      </c>
      <c r="H41" s="30">
        <f t="shared" ca="1" si="18"/>
        <v>-99765.314754532767</v>
      </c>
      <c r="I41" s="30">
        <f t="shared" ca="1" si="18"/>
        <v>-98472.060674381428</v>
      </c>
    </row>
    <row r="42" spans="1:9">
      <c r="B42" s="2" t="s">
        <v>28</v>
      </c>
      <c r="C42" s="103" t="s">
        <v>106</v>
      </c>
      <c r="D42" s="30"/>
      <c r="E42" s="30">
        <f ca="1">-E$11*E66</f>
        <v>98077.103055019441</v>
      </c>
      <c r="F42" s="30">
        <f ca="1">-F$11*F66</f>
        <v>99290.594052362867</v>
      </c>
      <c r="G42" s="30">
        <f ca="1">-G$11*G66</f>
        <v>100513.92720939798</v>
      </c>
      <c r="H42" s="30">
        <f ca="1">-H$11*H66</f>
        <v>101746.83620225212</v>
      </c>
      <c r="I42" s="30">
        <f ca="1">-I$11*I66</f>
        <v>102989.03523949311</v>
      </c>
    </row>
    <row r="43" spans="1:9">
      <c r="B43" s="2" t="s">
        <v>17</v>
      </c>
      <c r="C43" s="103" t="s">
        <v>106</v>
      </c>
      <c r="D43" s="30"/>
      <c r="E43" s="48">
        <f ca="1">SUM(E40:E42)</f>
        <v>291595.97363414278</v>
      </c>
      <c r="F43" s="48">
        <f ca="1">SUM(F40:F42)</f>
        <v>291035.54165117757</v>
      </c>
      <c r="G43" s="48">
        <f ca="1">SUM(G40:G42)</f>
        <v>290275.3063847766</v>
      </c>
      <c r="H43" s="48">
        <f ca="1">SUM(H40:H42)</f>
        <v>289305.62794077373</v>
      </c>
      <c r="I43" s="48">
        <f ca="1">SUM(I40:I42)</f>
        <v>288116.50930733013</v>
      </c>
    </row>
    <row r="44" spans="1:9">
      <c r="C44" s="103"/>
      <c r="D44" s="30"/>
      <c r="E44" s="30"/>
      <c r="F44" s="30"/>
      <c r="G44" s="30"/>
      <c r="H44" s="30"/>
      <c r="I44" s="30"/>
    </row>
    <row r="45" spans="1:9" ht="15.75">
      <c r="B45" s="10" t="s">
        <v>29</v>
      </c>
      <c r="C45" s="103"/>
      <c r="D45" s="49" t="s">
        <v>65</v>
      </c>
      <c r="E45" s="30"/>
      <c r="F45" s="30"/>
      <c r="G45" s="30"/>
      <c r="H45" s="30"/>
      <c r="I45" s="30"/>
    </row>
    <row r="46" spans="1:9">
      <c r="B46" s="2" t="s">
        <v>15</v>
      </c>
      <c r="C46" s="103" t="s">
        <v>106</v>
      </c>
      <c r="D46" s="30">
        <f t="shared" ref="D46:D52" ca="1" si="19">SUMPRODUCT(E$12:I$12,E46:I46)</f>
        <v>1268684.1100365364</v>
      </c>
      <c r="E46" s="30">
        <f ca="1">E43</f>
        <v>291595.97363414278</v>
      </c>
      <c r="F46" s="30">
        <f ca="1">F43</f>
        <v>291035.54165117757</v>
      </c>
      <c r="G46" s="30">
        <f ca="1">G43</f>
        <v>290275.3063847766</v>
      </c>
      <c r="H46" s="30">
        <f ca="1">H43</f>
        <v>289305.62794077373</v>
      </c>
      <c r="I46" s="30">
        <f ca="1">I43</f>
        <v>288116.50930733013</v>
      </c>
    </row>
    <row r="47" spans="1:9">
      <c r="B47" s="2" t="s">
        <v>30</v>
      </c>
      <c r="C47" s="103" t="s">
        <v>106</v>
      </c>
      <c r="D47" s="30">
        <f t="shared" ca="1" si="19"/>
        <v>0</v>
      </c>
      <c r="E47" s="30"/>
      <c r="F47" s="30"/>
      <c r="G47" s="30"/>
      <c r="H47" s="30"/>
      <c r="I47" s="30"/>
    </row>
    <row r="48" spans="1:9">
      <c r="A48" s="35">
        <f>'2. Notes and Assumptions'!B53</f>
        <v>30</v>
      </c>
      <c r="B48" s="2" t="s">
        <v>457</v>
      </c>
      <c r="C48" s="103" t="s">
        <v>106</v>
      </c>
      <c r="D48" s="30">
        <f t="shared" ca="1" si="19"/>
        <v>-2630116.1573254624</v>
      </c>
      <c r="E48" s="137">
        <v>-589327.24679831532</v>
      </c>
      <c r="F48" s="137">
        <v>-595896.09000262315</v>
      </c>
      <c r="G48" s="137">
        <v>-602484.35203355632</v>
      </c>
      <c r="H48" s="137">
        <v>-609088.8983055345</v>
      </c>
      <c r="I48" s="137">
        <v>-615706.42536684044</v>
      </c>
    </row>
    <row r="49" spans="1:9">
      <c r="B49" s="2" t="s">
        <v>13</v>
      </c>
      <c r="C49" s="103" t="s">
        <v>106</v>
      </c>
      <c r="D49" s="30">
        <f t="shared" ca="1" si="19"/>
        <v>488066.14917888667</v>
      </c>
      <c r="E49" s="30">
        <f>-E33</f>
        <v>111635.19200000001</v>
      </c>
      <c r="F49" s="30">
        <f t="shared" ref="F49:I49" si="20">-F33</f>
        <v>111635.19200000001</v>
      </c>
      <c r="G49" s="30">
        <f t="shared" si="20"/>
        <v>111635.19200000002</v>
      </c>
      <c r="H49" s="30">
        <f t="shared" si="20"/>
        <v>111635.19200000002</v>
      </c>
      <c r="I49" s="30">
        <f t="shared" si="20"/>
        <v>111635.19200000004</v>
      </c>
    </row>
    <row r="50" spans="1:9">
      <c r="A50" s="35">
        <f>'2. Notes and Assumptions'!B63</f>
        <v>39</v>
      </c>
      <c r="B50" s="2" t="s">
        <v>31</v>
      </c>
      <c r="C50" s="103" t="s">
        <v>106</v>
      </c>
      <c r="D50" s="30">
        <f t="shared" ca="1" si="19"/>
        <v>1979751.545030273</v>
      </c>
      <c r="E50" s="121">
        <v>432225.0741888163</v>
      </c>
      <c r="F50" s="121">
        <v>443030.70104364125</v>
      </c>
      <c r="G50" s="121">
        <v>454106.46856973227</v>
      </c>
      <c r="H50" s="121">
        <v>465459.13028397551</v>
      </c>
      <c r="I50" s="121">
        <v>477095.60854107485</v>
      </c>
    </row>
    <row r="51" spans="1:9">
      <c r="B51" s="2" t="s">
        <v>32</v>
      </c>
      <c r="C51" s="103" t="s">
        <v>106</v>
      </c>
      <c r="D51" s="30">
        <f t="shared" ca="1" si="19"/>
        <v>-877482.54176741093</v>
      </c>
      <c r="E51" s="30">
        <f ca="1">E66</f>
        <v>-196154.20611003888</v>
      </c>
      <c r="F51" s="30">
        <f t="shared" ref="F51:I51" ca="1" si="21">F66</f>
        <v>-198581.18810472573</v>
      </c>
      <c r="G51" s="30">
        <f t="shared" ca="1" si="21"/>
        <v>-201027.85441879596</v>
      </c>
      <c r="H51" s="30">
        <f t="shared" ca="1" si="21"/>
        <v>-203493.67240450424</v>
      </c>
      <c r="I51" s="30">
        <f t="shared" ca="1" si="21"/>
        <v>-205978.07047898622</v>
      </c>
    </row>
    <row r="52" spans="1:9">
      <c r="C52" s="30"/>
      <c r="D52" s="48">
        <f t="shared" ca="1" si="19"/>
        <v>228903.10515282289</v>
      </c>
      <c r="E52" s="48">
        <f ca="1">SUM(E46:E51)</f>
        <v>49974.786914604891</v>
      </c>
      <c r="F52" s="48">
        <f ca="1">SUM(F46:F51)</f>
        <v>51224.156587469944</v>
      </c>
      <c r="G52" s="48">
        <f ca="1">SUM(G46:G51)</f>
        <v>52504.760502156627</v>
      </c>
      <c r="H52" s="48">
        <f ca="1">SUM(H46:H51)</f>
        <v>53817.379514710541</v>
      </c>
      <c r="I52" s="48">
        <f ca="1">SUM(I46:I51)</f>
        <v>55162.81400257835</v>
      </c>
    </row>
    <row r="53" spans="1:9">
      <c r="C53" s="30"/>
      <c r="D53" s="30"/>
      <c r="E53" s="30"/>
      <c r="F53" s="30"/>
      <c r="G53" s="30"/>
      <c r="H53" s="30"/>
      <c r="I53" s="30"/>
    </row>
    <row r="54" spans="1:9" ht="15.75">
      <c r="B54" s="10" t="s">
        <v>66</v>
      </c>
      <c r="C54" s="30"/>
      <c r="D54" s="30">
        <f ca="1">SUMPRODUCT(E$12:I$12,E54:I54)</f>
        <v>228903.10748986373</v>
      </c>
      <c r="E54" s="30">
        <f>E14*'25. Sewer - Price Setting'!E25</f>
        <v>49974.787424834329</v>
      </c>
      <c r="F54" s="30">
        <f>F14*'25. Sewer - Price Setting'!F25</f>
        <v>51224.157110455177</v>
      </c>
      <c r="G54" s="30">
        <f>G14*'25. Sewer - Price Setting'!G25</f>
        <v>52504.761038216551</v>
      </c>
      <c r="H54" s="30">
        <f>H14*'25. Sewer - Price Setting'!H25</f>
        <v>53817.380064171957</v>
      </c>
      <c r="I54" s="30">
        <f>I14*'25. Sewer - Price Setting'!I25</f>
        <v>55162.814565776251</v>
      </c>
    </row>
    <row r="55" spans="1:9">
      <c r="B55" s="12" t="s">
        <v>257</v>
      </c>
      <c r="E55" s="13">
        <f ca="1">E52-E54</f>
        <v>-5.1022943807765841E-4</v>
      </c>
      <c r="F55" s="13">
        <f t="shared" ref="F55:I55" ca="1" si="22">F52-F54</f>
        <v>-5.2298523223726079E-4</v>
      </c>
      <c r="G55" s="13">
        <f t="shared" ca="1" si="22"/>
        <v>-5.3605992434313521E-4</v>
      </c>
      <c r="H55" s="13">
        <f t="shared" ca="1" si="22"/>
        <v>-5.4946141608525068E-4</v>
      </c>
      <c r="I55" s="13">
        <f t="shared" ca="1" si="22"/>
        <v>-5.6319790019188076E-4</v>
      </c>
    </row>
    <row r="56" spans="1:9">
      <c r="C56" s="30"/>
      <c r="D56" s="30"/>
      <c r="E56" s="30"/>
      <c r="F56" s="30"/>
      <c r="G56" s="30"/>
      <c r="H56" s="30"/>
      <c r="I56" s="30"/>
    </row>
    <row r="57" spans="1:9" ht="15.75">
      <c r="B57" s="10" t="s">
        <v>34</v>
      </c>
      <c r="C57" s="30"/>
      <c r="D57" s="30"/>
      <c r="E57" s="30"/>
      <c r="F57" s="30"/>
      <c r="G57" s="30"/>
      <c r="H57" s="30"/>
      <c r="I57" s="30"/>
    </row>
    <row r="58" spans="1:9">
      <c r="B58" s="2" t="s">
        <v>35</v>
      </c>
      <c r="C58" s="30"/>
      <c r="D58" s="30"/>
      <c r="E58" s="30">
        <f>E54</f>
        <v>49974.787424834329</v>
      </c>
      <c r="F58" s="30">
        <f>F54</f>
        <v>51224.157110455177</v>
      </c>
      <c r="G58" s="30">
        <f>G54</f>
        <v>52504.761038216551</v>
      </c>
      <c r="H58" s="30">
        <f>H54</f>
        <v>53817.380064171957</v>
      </c>
      <c r="I58" s="30">
        <f>I54</f>
        <v>55162.814565776251</v>
      </c>
    </row>
    <row r="59" spans="1:9">
      <c r="A59" s="35">
        <f>'2. Notes and Assumptions'!B54</f>
        <v>31</v>
      </c>
      <c r="B59" s="2" t="s">
        <v>36</v>
      </c>
      <c r="C59" s="30"/>
      <c r="D59" s="30"/>
      <c r="E59" s="30">
        <f>-E47</f>
        <v>0</v>
      </c>
      <c r="F59" s="30">
        <f t="shared" ref="F59:I59" si="23">-F47</f>
        <v>0</v>
      </c>
      <c r="G59" s="30">
        <f t="shared" si="23"/>
        <v>0</v>
      </c>
      <c r="H59" s="30">
        <f t="shared" si="23"/>
        <v>0</v>
      </c>
      <c r="I59" s="30">
        <f t="shared" si="23"/>
        <v>0</v>
      </c>
    </row>
    <row r="60" spans="1:9">
      <c r="B60" s="2" t="s">
        <v>40</v>
      </c>
      <c r="C60" s="30"/>
      <c r="D60" s="30"/>
      <c r="E60" s="30">
        <f>E33</f>
        <v>-111635.19200000001</v>
      </c>
      <c r="F60" s="30">
        <f t="shared" ref="F60:I60" si="24">F33</f>
        <v>-111635.19200000001</v>
      </c>
      <c r="G60" s="30">
        <f t="shared" si="24"/>
        <v>-111635.19200000002</v>
      </c>
      <c r="H60" s="30">
        <f t="shared" si="24"/>
        <v>-111635.19200000002</v>
      </c>
      <c r="I60" s="30">
        <f t="shared" si="24"/>
        <v>-111635.19200000004</v>
      </c>
    </row>
    <row r="61" spans="1:9">
      <c r="B61" s="2" t="s">
        <v>41</v>
      </c>
      <c r="C61" s="30"/>
      <c r="D61" s="30"/>
      <c r="E61" s="30">
        <f ca="1">-E25*E10*E8</f>
        <v>-159961.87493614771</v>
      </c>
      <c r="F61" s="30">
        <f t="shared" ref="F61:I61" ca="1" si="25">-F25*F10*F8</f>
        <v>-158495.557749233</v>
      </c>
      <c r="G61" s="30">
        <f t="shared" ca="1" si="25"/>
        <v>-156855.94853113749</v>
      </c>
      <c r="H61" s="30">
        <f t="shared" ca="1" si="25"/>
        <v>-155035.29912854393</v>
      </c>
      <c r="I61" s="30">
        <f t="shared" ca="1" si="25"/>
        <v>-153025.58228798874</v>
      </c>
    </row>
    <row r="62" spans="1:9">
      <c r="B62" s="2" t="s">
        <v>42</v>
      </c>
      <c r="C62" s="30"/>
      <c r="D62" s="30"/>
      <c r="E62" s="30">
        <f>-E50</f>
        <v>-432225.0741888163</v>
      </c>
      <c r="F62" s="30">
        <f t="shared" ref="F62:I62" si="26">-F50</f>
        <v>-443030.70104364125</v>
      </c>
      <c r="G62" s="30">
        <f t="shared" si="26"/>
        <v>-454106.46856973227</v>
      </c>
      <c r="H62" s="30">
        <f t="shared" si="26"/>
        <v>-465459.13028397551</v>
      </c>
      <c r="I62" s="30">
        <f t="shared" si="26"/>
        <v>-477095.60854107485</v>
      </c>
    </row>
    <row r="63" spans="1:9">
      <c r="B63" s="2" t="s">
        <v>43</v>
      </c>
      <c r="C63" s="30"/>
      <c r="D63" s="30"/>
      <c r="E63" s="30"/>
      <c r="F63" s="30"/>
      <c r="G63" s="30"/>
      <c r="H63" s="30"/>
      <c r="I63" s="30"/>
    </row>
    <row r="64" spans="1:9">
      <c r="B64" s="2" t="s">
        <v>37</v>
      </c>
      <c r="C64" s="30"/>
      <c r="D64" s="30"/>
      <c r="E64" s="30">
        <f ca="1">SUM(E58:E63)</f>
        <v>-653847.35370012966</v>
      </c>
      <c r="F64" s="30">
        <f ca="1">SUM(F58:F63)</f>
        <v>-661937.29368241911</v>
      </c>
      <c r="G64" s="30">
        <f t="shared" ref="G64" ca="1" si="27">SUM(G57:G63)</f>
        <v>-670092.84806265321</v>
      </c>
      <c r="H64" s="30">
        <f t="shared" ref="H64:I64" ca="1" si="28">SUM(H58:H63)</f>
        <v>-678312.24134834751</v>
      </c>
      <c r="I64" s="30">
        <f t="shared" ca="1" si="28"/>
        <v>-686593.56826328742</v>
      </c>
    </row>
    <row r="65" spans="1:9">
      <c r="C65" s="30"/>
      <c r="D65" s="30"/>
      <c r="E65" s="30"/>
      <c r="F65" s="30"/>
      <c r="G65" s="30"/>
      <c r="H65" s="30"/>
      <c r="I65" s="30"/>
    </row>
    <row r="66" spans="1:9">
      <c r="A66" s="35">
        <f>'2. Notes and Assumptions'!B52</f>
        <v>29</v>
      </c>
      <c r="B66" s="2" t="s">
        <v>32</v>
      </c>
      <c r="C66" s="30"/>
      <c r="D66" s="30"/>
      <c r="E66" s="30">
        <f ca="1">E64*E$9</f>
        <v>-196154.20611003888</v>
      </c>
      <c r="F66" s="30">
        <f t="shared" ref="F66:I66" ca="1" si="29">F64*F$9</f>
        <v>-198581.18810472573</v>
      </c>
      <c r="G66" s="30">
        <f t="shared" ca="1" si="29"/>
        <v>-201027.85441879596</v>
      </c>
      <c r="H66" s="30">
        <f t="shared" ca="1" si="29"/>
        <v>-203493.67240450424</v>
      </c>
      <c r="I66" s="30">
        <f t="shared" ca="1" si="29"/>
        <v>-205978.07047898622</v>
      </c>
    </row>
    <row r="67" spans="1:9">
      <c r="C67" s="30"/>
      <c r="D67" s="30"/>
      <c r="E67" s="30"/>
      <c r="F67" s="30"/>
      <c r="G67" s="30"/>
      <c r="H67" s="30"/>
      <c r="I67" s="30"/>
    </row>
    <row r="68" spans="1:9">
      <c r="B68" s="47" t="s">
        <v>108</v>
      </c>
    </row>
    <row r="70" spans="1:9" ht="15.75">
      <c r="B70" s="10" t="s">
        <v>15</v>
      </c>
    </row>
    <row r="71" spans="1:9">
      <c r="B71" s="2" t="s">
        <v>16</v>
      </c>
      <c r="C71" s="103" t="s">
        <v>106</v>
      </c>
      <c r="D71" s="30"/>
      <c r="E71" s="30">
        <f>E39</f>
        <v>4117422.7782792202</v>
      </c>
      <c r="F71" s="30">
        <f ca="1">F39</f>
        <v>4079679.7361449935</v>
      </c>
      <c r="G71" s="30">
        <f ca="1">G39</f>
        <v>4037476.1526676314</v>
      </c>
      <c r="H71" s="30">
        <f ca="1">H39</f>
        <v>3990612.5901813107</v>
      </c>
      <c r="I71" s="30">
        <f ca="1">I39</f>
        <v>3938882.4269752568</v>
      </c>
    </row>
    <row r="72" spans="1:9">
      <c r="B72" s="2" t="s">
        <v>15</v>
      </c>
      <c r="C72" s="103" t="s">
        <v>106</v>
      </c>
      <c r="D72" s="30"/>
      <c r="E72" s="30">
        <f ca="1">E71*E$7</f>
        <v>296454.44003610383</v>
      </c>
      <c r="F72" s="30">
        <f t="shared" ref="F72:I72" ca="1" si="30">F71*F$7</f>
        <v>293736.94100243953</v>
      </c>
      <c r="G72" s="30">
        <f t="shared" ca="1" si="30"/>
        <v>290698.28299206943</v>
      </c>
      <c r="H72" s="30">
        <f t="shared" ca="1" si="30"/>
        <v>287324.10649305437</v>
      </c>
      <c r="I72" s="30">
        <f t="shared" ca="1" si="30"/>
        <v>283599.53474221844</v>
      </c>
    </row>
    <row r="73" spans="1:9">
      <c r="B73" s="2" t="s">
        <v>195</v>
      </c>
      <c r="C73" s="103" t="s">
        <v>106</v>
      </c>
      <c r="D73" s="30"/>
      <c r="E73" s="30">
        <f ca="1">E41</f>
        <v>-102935.56945698051</v>
      </c>
      <c r="F73" s="30">
        <f ca="1">F41</f>
        <v>-101991.99340362485</v>
      </c>
      <c r="G73" s="30">
        <f ca="1">G41</f>
        <v>-100936.90381669078</v>
      </c>
      <c r="H73" s="30">
        <f ca="1">H41</f>
        <v>-99765.314754532767</v>
      </c>
      <c r="I73" s="30">
        <f ca="1">I41</f>
        <v>-98472.060674381428</v>
      </c>
    </row>
    <row r="74" spans="1:9">
      <c r="B74" s="2" t="s">
        <v>28</v>
      </c>
      <c r="C74" s="103" t="s">
        <v>106</v>
      </c>
      <c r="D74" s="30"/>
      <c r="E74" s="30">
        <f ca="1">-E$11*E98</f>
        <v>98193.021168744599</v>
      </c>
      <c r="F74" s="30">
        <f ca="1">-F$11*F98</f>
        <v>99393.067618931134</v>
      </c>
      <c r="G74" s="30">
        <f ca="1">-G$11*G98</f>
        <v>100434.21775465757</v>
      </c>
      <c r="H74" s="30">
        <f ca="1">-H$11*H98</f>
        <v>101665.13401114321</v>
      </c>
      <c r="I74" s="30">
        <f ca="1">-I$11*I98</f>
        <v>102905.29049360646</v>
      </c>
    </row>
    <row r="75" spans="1:9">
      <c r="B75" s="2" t="s">
        <v>17</v>
      </c>
      <c r="C75" s="103" t="s">
        <v>106</v>
      </c>
      <c r="D75" s="30"/>
      <c r="E75" s="48">
        <f ca="1">SUM(E72:E74)</f>
        <v>291711.89174786792</v>
      </c>
      <c r="F75" s="48">
        <f ca="1">SUM(F72:F74)</f>
        <v>291138.01521774579</v>
      </c>
      <c r="G75" s="48">
        <f ca="1">SUM(G72:G74)</f>
        <v>290195.5969300362</v>
      </c>
      <c r="H75" s="48">
        <f ca="1">SUM(H72:H74)</f>
        <v>289223.92574966478</v>
      </c>
      <c r="I75" s="48">
        <f ca="1">SUM(I72:I74)</f>
        <v>288032.76456144347</v>
      </c>
    </row>
    <row r="76" spans="1:9">
      <c r="C76" s="103"/>
      <c r="D76" s="30"/>
      <c r="E76" s="30"/>
      <c r="F76" s="30"/>
      <c r="G76" s="30"/>
      <c r="H76" s="30"/>
      <c r="I76" s="30"/>
    </row>
    <row r="77" spans="1:9" ht="15.75">
      <c r="B77" s="10" t="s">
        <v>29</v>
      </c>
      <c r="C77" s="103"/>
      <c r="D77" s="49" t="s">
        <v>65</v>
      </c>
      <c r="E77" s="30"/>
      <c r="F77" s="30"/>
      <c r="G77" s="30"/>
      <c r="H77" s="30"/>
      <c r="I77" s="30"/>
    </row>
    <row r="78" spans="1:9">
      <c r="B78" s="2" t="s">
        <v>15</v>
      </c>
      <c r="C78" s="103" t="s">
        <v>106</v>
      </c>
      <c r="D78" s="30">
        <f t="shared" ref="D78:D84" ca="1" si="31">SUMPRODUCT(E$12:I$12,E78:I78)</f>
        <v>1268684.1100365364</v>
      </c>
      <c r="E78" s="30">
        <f t="shared" ref="E78:I82" ca="1" si="32">E46</f>
        <v>291595.97363414278</v>
      </c>
      <c r="F78" s="30">
        <f t="shared" ca="1" si="32"/>
        <v>291035.54165117757</v>
      </c>
      <c r="G78" s="30">
        <f t="shared" ca="1" si="32"/>
        <v>290275.3063847766</v>
      </c>
      <c r="H78" s="30">
        <f t="shared" ca="1" si="32"/>
        <v>289305.62794077373</v>
      </c>
      <c r="I78" s="30">
        <f t="shared" ca="1" si="32"/>
        <v>288116.50930733013</v>
      </c>
    </row>
    <row r="79" spans="1:9">
      <c r="B79" s="2" t="s">
        <v>30</v>
      </c>
      <c r="C79" s="103" t="s">
        <v>106</v>
      </c>
      <c r="D79" s="30">
        <f t="shared" ca="1" si="31"/>
        <v>0</v>
      </c>
      <c r="E79" s="30">
        <f t="shared" si="32"/>
        <v>0</v>
      </c>
      <c r="F79" s="30">
        <f t="shared" si="32"/>
        <v>0</v>
      </c>
      <c r="G79" s="30">
        <f t="shared" si="32"/>
        <v>0</v>
      </c>
      <c r="H79" s="30">
        <f t="shared" si="32"/>
        <v>0</v>
      </c>
      <c r="I79" s="30">
        <f t="shared" si="32"/>
        <v>0</v>
      </c>
    </row>
    <row r="80" spans="1:9">
      <c r="A80" s="35">
        <f>'2. Notes and Assumptions'!B53</f>
        <v>30</v>
      </c>
      <c r="B80" s="2" t="s">
        <v>457</v>
      </c>
      <c r="C80" s="103" t="s">
        <v>106</v>
      </c>
      <c r="D80" s="30">
        <f t="shared" ca="1" si="31"/>
        <v>-2630174.0873031388</v>
      </c>
      <c r="E80" s="137">
        <v>-589868.19757551036</v>
      </c>
      <c r="F80" s="137">
        <v>-596374.29954924807</v>
      </c>
      <c r="G80" s="137">
        <v>-602112.37487291952</v>
      </c>
      <c r="H80" s="137">
        <v>-608707.62171588175</v>
      </c>
      <c r="I80" s="137">
        <v>-615315.61686244642</v>
      </c>
    </row>
    <row r="81" spans="1:9">
      <c r="B81" s="2" t="s">
        <v>13</v>
      </c>
      <c r="C81" s="103" t="s">
        <v>106</v>
      </c>
      <c r="D81" s="30">
        <f t="shared" ca="1" si="31"/>
        <v>488066.14917888667</v>
      </c>
      <c r="E81" s="30">
        <f t="shared" si="32"/>
        <v>111635.19200000001</v>
      </c>
      <c r="F81" s="30">
        <f t="shared" si="32"/>
        <v>111635.19200000001</v>
      </c>
      <c r="G81" s="30">
        <f t="shared" si="32"/>
        <v>111635.19200000002</v>
      </c>
      <c r="H81" s="30">
        <f t="shared" si="32"/>
        <v>111635.19200000002</v>
      </c>
      <c r="I81" s="30">
        <f t="shared" si="32"/>
        <v>111635.19200000004</v>
      </c>
    </row>
    <row r="82" spans="1:9">
      <c r="A82" s="35">
        <f>'2. Notes and Assumptions'!B63</f>
        <v>39</v>
      </c>
      <c r="B82" s="2" t="s">
        <v>31</v>
      </c>
      <c r="C82" s="103" t="s">
        <v>106</v>
      </c>
      <c r="D82" s="30">
        <f t="shared" ca="1" si="31"/>
        <v>1979751.545030273</v>
      </c>
      <c r="E82" s="30">
        <f t="shared" si="32"/>
        <v>432225.0741888163</v>
      </c>
      <c r="F82" s="30">
        <f t="shared" si="32"/>
        <v>443030.70104364125</v>
      </c>
      <c r="G82" s="30">
        <f t="shared" si="32"/>
        <v>454106.46856973227</v>
      </c>
      <c r="H82" s="30">
        <f t="shared" si="32"/>
        <v>465459.13028397551</v>
      </c>
      <c r="I82" s="30">
        <f t="shared" si="32"/>
        <v>477095.60854107485</v>
      </c>
    </row>
    <row r="83" spans="1:9">
      <c r="B83" s="2" t="s">
        <v>32</v>
      </c>
      <c r="C83" s="103" t="s">
        <v>106</v>
      </c>
      <c r="D83" s="30">
        <f t="shared" ca="1" si="31"/>
        <v>-877507.36893737293</v>
      </c>
      <c r="E83" s="30">
        <f ca="1">E98</f>
        <v>-196386.0423374892</v>
      </c>
      <c r="F83" s="30">
        <f t="shared" ref="F83:I83" ca="1" si="33">F98</f>
        <v>-198786.13523786227</v>
      </c>
      <c r="G83" s="30">
        <f t="shared" ca="1" si="33"/>
        <v>-200868.43550931514</v>
      </c>
      <c r="H83" s="30">
        <f t="shared" ca="1" si="33"/>
        <v>-203330.26802228641</v>
      </c>
      <c r="I83" s="30">
        <f t="shared" ca="1" si="33"/>
        <v>-205810.58098721292</v>
      </c>
    </row>
    <row r="84" spans="1:9">
      <c r="C84" s="30"/>
      <c r="D84" s="48">
        <f t="shared" ca="1" si="31"/>
        <v>228820.34800518458</v>
      </c>
      <c r="E84" s="48">
        <f ca="1">SUM(E78:E83)</f>
        <v>49201.99990995953</v>
      </c>
      <c r="F84" s="48">
        <f ca="1">SUM(F78:F83)</f>
        <v>50540.999907708494</v>
      </c>
      <c r="G84" s="48">
        <f ca="1">SUM(G78:G83)</f>
        <v>53036.156572274253</v>
      </c>
      <c r="H84" s="48">
        <f ca="1">SUM(H78:H83)</f>
        <v>54362.060486581118</v>
      </c>
      <c r="I84" s="48">
        <f ca="1">SUM(I78:I83)</f>
        <v>55721.111998745677</v>
      </c>
    </row>
    <row r="85" spans="1:9">
      <c r="C85" s="30"/>
      <c r="D85" s="30"/>
      <c r="E85" s="30"/>
      <c r="F85" s="30"/>
      <c r="G85" s="30"/>
      <c r="H85" s="30"/>
      <c r="I85" s="30"/>
    </row>
    <row r="86" spans="1:9" ht="15.75">
      <c r="B86" s="10" t="s">
        <v>66</v>
      </c>
      <c r="C86" s="30"/>
      <c r="D86" s="30">
        <f ca="1">SUMPRODUCT(E$12:I$12,E86:I86)</f>
        <v>228820.35025665726</v>
      </c>
      <c r="E86" s="30">
        <f>E14*'25. Sewer - Price Setting'!E50</f>
        <v>49202</v>
      </c>
      <c r="F86" s="30">
        <f>F14*'25. Sewer - Price Setting'!F50</f>
        <v>50541</v>
      </c>
      <c r="G86" s="30">
        <f>G14*'25. Sewer - Price Setting'!G50</f>
        <v>53036.157403152596</v>
      </c>
      <c r="H86" s="30">
        <f>H14*'25. Sewer - Price Setting'!H50</f>
        <v>54362.061338231411</v>
      </c>
      <c r="I86" s="30">
        <f>I14*'25. Sewer - Price Setting'!I50</f>
        <v>55721.112871687197</v>
      </c>
    </row>
    <row r="87" spans="1:9">
      <c r="B87" s="12" t="s">
        <v>257</v>
      </c>
      <c r="E87" s="13">
        <f t="shared" ref="E87:F87" ca="1" si="34">E84-E86</f>
        <v>-9.004047024063766E-5</v>
      </c>
      <c r="F87" s="13">
        <f t="shared" ca="1" si="34"/>
        <v>-9.2291506007313728E-5</v>
      </c>
      <c r="G87" s="13">
        <f t="shared" ref="G87" ca="1" si="35">G84-G86</f>
        <v>-8.3087834354955703E-4</v>
      </c>
      <c r="H87" s="13">
        <f t="shared" ref="H87" ca="1" si="36">H84-H86</f>
        <v>-8.5165029304334894E-4</v>
      </c>
      <c r="I87" s="13">
        <f t="shared" ref="I87" ca="1" si="37">I84-I86</f>
        <v>-8.729415203561075E-4</v>
      </c>
    </row>
    <row r="88" spans="1:9">
      <c r="C88" s="30"/>
      <c r="D88" s="30"/>
      <c r="E88" s="30"/>
      <c r="F88" s="30"/>
      <c r="G88" s="30"/>
      <c r="H88" s="30"/>
      <c r="I88" s="30"/>
    </row>
    <row r="89" spans="1:9" ht="15.75">
      <c r="B89" s="10" t="s">
        <v>34</v>
      </c>
      <c r="C89" s="30"/>
      <c r="D89" s="30"/>
      <c r="E89" s="30"/>
      <c r="F89" s="30"/>
      <c r="G89" s="30"/>
      <c r="H89" s="30"/>
      <c r="I89" s="30"/>
    </row>
    <row r="90" spans="1:9">
      <c r="B90" s="2" t="s">
        <v>35</v>
      </c>
      <c r="C90" s="30"/>
      <c r="D90" s="30"/>
      <c r="E90" s="30">
        <f>E86</f>
        <v>49202</v>
      </c>
      <c r="F90" s="30">
        <f>F86</f>
        <v>50541</v>
      </c>
      <c r="G90" s="30">
        <f>G86</f>
        <v>53036.157403152596</v>
      </c>
      <c r="H90" s="30">
        <f>H86</f>
        <v>54362.061338231411</v>
      </c>
      <c r="I90" s="30">
        <f>I86</f>
        <v>55721.112871687197</v>
      </c>
    </row>
    <row r="91" spans="1:9">
      <c r="A91" s="35">
        <f>'2. Notes and Assumptions'!B54</f>
        <v>31</v>
      </c>
      <c r="B91" s="2" t="s">
        <v>36</v>
      </c>
      <c r="C91" s="30"/>
      <c r="D91" s="30"/>
      <c r="E91" s="30">
        <f>-SUM(E79)</f>
        <v>0</v>
      </c>
      <c r="F91" s="30">
        <f t="shared" ref="F91:I91" si="38">-SUM(F79)</f>
        <v>0</v>
      </c>
      <c r="G91" s="30">
        <f t="shared" si="38"/>
        <v>0</v>
      </c>
      <c r="H91" s="30">
        <f t="shared" si="38"/>
        <v>0</v>
      </c>
      <c r="I91" s="30">
        <f t="shared" si="38"/>
        <v>0</v>
      </c>
    </row>
    <row r="92" spans="1:9">
      <c r="B92" s="2" t="s">
        <v>40</v>
      </c>
      <c r="C92" s="30"/>
      <c r="D92" s="30"/>
      <c r="E92" s="30">
        <f t="shared" ref="E92:I94" si="39">E60</f>
        <v>-111635.19200000001</v>
      </c>
      <c r="F92" s="30">
        <f t="shared" si="39"/>
        <v>-111635.19200000001</v>
      </c>
      <c r="G92" s="30">
        <f t="shared" si="39"/>
        <v>-111635.19200000002</v>
      </c>
      <c r="H92" s="30">
        <f t="shared" si="39"/>
        <v>-111635.19200000002</v>
      </c>
      <c r="I92" s="30">
        <f t="shared" si="39"/>
        <v>-111635.19200000004</v>
      </c>
    </row>
    <row r="93" spans="1:9">
      <c r="B93" s="2" t="s">
        <v>41</v>
      </c>
      <c r="C93" s="30"/>
      <c r="D93" s="30"/>
      <c r="E93" s="30">
        <f t="shared" ca="1" si="39"/>
        <v>-159961.87493614771</v>
      </c>
      <c r="F93" s="30">
        <f t="shared" ca="1" si="39"/>
        <v>-158495.557749233</v>
      </c>
      <c r="G93" s="30">
        <f t="shared" ca="1" si="39"/>
        <v>-156855.94853113749</v>
      </c>
      <c r="H93" s="30">
        <f t="shared" ca="1" si="39"/>
        <v>-155035.29912854393</v>
      </c>
      <c r="I93" s="30">
        <f t="shared" ca="1" si="39"/>
        <v>-153025.58228798874</v>
      </c>
    </row>
    <row r="94" spans="1:9">
      <c r="B94" s="2" t="s">
        <v>42</v>
      </c>
      <c r="C94" s="30"/>
      <c r="D94" s="30"/>
      <c r="E94" s="30">
        <f t="shared" si="39"/>
        <v>-432225.0741888163</v>
      </c>
      <c r="F94" s="30">
        <f t="shared" si="39"/>
        <v>-443030.70104364125</v>
      </c>
      <c r="G94" s="30">
        <f t="shared" si="39"/>
        <v>-454106.46856973227</v>
      </c>
      <c r="H94" s="30">
        <f t="shared" si="39"/>
        <v>-465459.13028397551</v>
      </c>
      <c r="I94" s="30">
        <f t="shared" si="39"/>
        <v>-477095.60854107485</v>
      </c>
    </row>
    <row r="95" spans="1:9">
      <c r="B95" s="2" t="s">
        <v>43</v>
      </c>
      <c r="C95" s="30"/>
      <c r="D95" s="30"/>
      <c r="E95" s="30"/>
      <c r="F95" s="30"/>
      <c r="G95" s="30"/>
      <c r="H95" s="30"/>
      <c r="I95" s="30"/>
    </row>
    <row r="96" spans="1:9">
      <c r="B96" s="2" t="s">
        <v>37</v>
      </c>
      <c r="C96" s="30"/>
      <c r="D96" s="30"/>
      <c r="E96" s="30">
        <f ca="1">SUM(E90:E95)</f>
        <v>-654620.14112496399</v>
      </c>
      <c r="F96" s="30">
        <f ca="1">SUM(F90:F95)</f>
        <v>-662620.45079287421</v>
      </c>
      <c r="G96" s="30">
        <f t="shared" ref="G96:I96" ca="1" si="40">SUM(G90:G95)</f>
        <v>-669561.45169771719</v>
      </c>
      <c r="H96" s="30">
        <f t="shared" ca="1" si="40"/>
        <v>-677767.56007428805</v>
      </c>
      <c r="I96" s="30">
        <f t="shared" ca="1" si="40"/>
        <v>-686035.26995737641</v>
      </c>
    </row>
    <row r="97" spans="1:9">
      <c r="C97" s="30"/>
      <c r="D97" s="30"/>
      <c r="E97" s="30"/>
      <c r="F97" s="30"/>
      <c r="G97" s="30"/>
      <c r="H97" s="30"/>
      <c r="I97" s="30"/>
    </row>
    <row r="98" spans="1:9">
      <c r="A98" s="35">
        <f>'2. Notes and Assumptions'!B52</f>
        <v>29</v>
      </c>
      <c r="B98" s="2" t="s">
        <v>32</v>
      </c>
      <c r="C98" s="30"/>
      <c r="D98" s="30"/>
      <c r="E98" s="30">
        <f ca="1">E96*E$9</f>
        <v>-196386.0423374892</v>
      </c>
      <c r="F98" s="30">
        <f t="shared" ref="F98:I98" ca="1" si="41">F96*F$9</f>
        <v>-198786.13523786227</v>
      </c>
      <c r="G98" s="30">
        <f t="shared" ca="1" si="41"/>
        <v>-200868.43550931514</v>
      </c>
      <c r="H98" s="30">
        <f t="shared" ca="1" si="41"/>
        <v>-203330.26802228641</v>
      </c>
      <c r="I98" s="30">
        <f t="shared" ca="1" si="41"/>
        <v>-205810.58098721292</v>
      </c>
    </row>
  </sheetData>
  <pageMargins left="0.75" right="0.75" top="1" bottom="1" header="0.5" footer="0.5"/>
  <pageSetup paperSize="9" scale="75"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2" id="{F188A681-F48F-9D48-9DAE-5772D63A86F9}">
            <xm:f>'2. Notes and Assumptions'!$D$103="ERROR"</xm:f>
            <x14:dxf>
              <font>
                <strike val="0"/>
                <color rgb="FF000090"/>
              </font>
              <fill>
                <patternFill patternType="darkGrid">
                  <fgColor theme="0"/>
                  <bgColor rgb="FFFF6600"/>
                </patternFill>
              </fill>
            </x14:dxf>
          </x14:cfRule>
          <xm:sqref>A1:XFD1 A1:A1048576</xm:sqref>
        </x14:conditionalFormatting>
        <x14:conditionalFormatting xmlns:xm="http://schemas.microsoft.com/office/excel/2006/main">
          <x14:cfRule type="expression" priority="1" stopIfTrue="1" id="{B03270E4-6E54-7D47-B8F9-0B2EB97785EA}">
            <xm:f>'2. Notes and Assumptions'!$D$92="ERROR"</xm:f>
            <x14:dxf>
              <font>
                <color theme="0"/>
              </font>
              <fill>
                <patternFill patternType="solid">
                  <fgColor indexed="64"/>
                  <bgColor rgb="FFFF0000"/>
                </patternFill>
              </fill>
            </x14:dxf>
          </x14:cfRule>
          <xm:sqref>A1:XFD1 A3:A1048576</xm:sqref>
        </x14:conditionalFormatting>
      </x14:conditionalFormattings>
    </ex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sheetPr codeName="Sheet10"/>
  <dimension ref="A1:AG65"/>
  <sheetViews>
    <sheetView zoomScaleNormal="100" workbookViewId="0">
      <pane ySplit="4" topLeftCell="A5" activePane="bottomLeft" state="frozen"/>
      <selection pane="bottomLeft" activeCell="B21" sqref="B21"/>
    </sheetView>
  </sheetViews>
  <sheetFormatPr defaultColWidth="10.6640625" defaultRowHeight="15"/>
  <cols>
    <col min="1" max="1" width="31" style="35" customWidth="1"/>
    <col min="2" max="2" width="31.6640625" style="2" customWidth="1"/>
    <col min="3" max="3" width="8.6640625" style="2" customWidth="1"/>
    <col min="4" max="4" width="9.77734375" style="2" customWidth="1"/>
    <col min="5" max="5" width="10.44140625" style="2" customWidth="1"/>
    <col min="6" max="6" width="10.21875" style="2" customWidth="1"/>
    <col min="7" max="7" width="9.6640625" style="2" customWidth="1"/>
    <col min="8" max="9" width="13.5546875" style="2" customWidth="1"/>
    <col min="10" max="16384" width="10.6640625" style="2"/>
  </cols>
  <sheetData>
    <row r="1" spans="1:33" s="6" customFormat="1" ht="20.25" customHeight="1">
      <c r="A1" s="92" t="s">
        <v>115</v>
      </c>
      <c r="B1" s="92"/>
      <c r="C1" s="92"/>
      <c r="D1" s="92"/>
      <c r="E1" s="92"/>
      <c r="F1" s="92"/>
      <c r="G1" s="92"/>
      <c r="H1" s="92"/>
    </row>
    <row r="2" spans="1:33" ht="18" customHeight="1">
      <c r="A2" s="3" t="str">
        <f ca="1">MID(CELL("filename",A1),FIND("]",CELL("filename",A1))+1,LEN(CELL("filename",A1))-FIND("]",CELL("filename",A1)))</f>
        <v>8. Discovery Trail CSO</v>
      </c>
      <c r="B2" s="3"/>
      <c r="C2" s="3"/>
      <c r="D2" s="3"/>
      <c r="E2" s="3"/>
      <c r="F2" s="3"/>
      <c r="G2" s="3"/>
      <c r="H2" s="3"/>
    </row>
    <row r="3" spans="1:33" s="6" customFormat="1">
      <c r="A3" s="35">
        <f>'2. Notes and Assumptions'!B58</f>
        <v>34</v>
      </c>
      <c r="B3" s="36"/>
      <c r="C3" s="16" t="s">
        <v>0</v>
      </c>
      <c r="D3" s="17">
        <v>0</v>
      </c>
      <c r="E3" s="17">
        <v>1</v>
      </c>
      <c r="F3" s="17">
        <v>2</v>
      </c>
      <c r="G3" s="17">
        <v>3</v>
      </c>
      <c r="H3" s="17">
        <v>4</v>
      </c>
      <c r="I3" s="17">
        <v>5</v>
      </c>
      <c r="J3" s="2"/>
      <c r="K3" s="2"/>
      <c r="L3" s="2"/>
      <c r="M3" s="2"/>
      <c r="N3" s="2"/>
      <c r="O3" s="2"/>
      <c r="P3" s="2"/>
      <c r="Q3" s="2"/>
      <c r="R3" s="2"/>
      <c r="S3" s="2"/>
      <c r="T3" s="2"/>
      <c r="U3" s="2"/>
      <c r="V3" s="2"/>
      <c r="W3" s="2"/>
      <c r="X3" s="2"/>
      <c r="Y3" s="2"/>
      <c r="Z3" s="2"/>
      <c r="AA3" s="2"/>
      <c r="AB3" s="2"/>
      <c r="AC3" s="2"/>
      <c r="AD3" s="2"/>
      <c r="AE3" s="2"/>
      <c r="AF3" s="2"/>
      <c r="AG3" s="2"/>
    </row>
    <row r="4" spans="1:33" s="6" customFormat="1">
      <c r="A4" s="35"/>
      <c r="B4" s="36"/>
      <c r="C4" s="18" t="s">
        <v>1</v>
      </c>
      <c r="D4" s="19" t="s">
        <v>162</v>
      </c>
      <c r="E4" s="19" t="s">
        <v>10</v>
      </c>
      <c r="F4" s="19" t="s">
        <v>11</v>
      </c>
      <c r="G4" s="19" t="s">
        <v>2</v>
      </c>
      <c r="H4" s="19" t="s">
        <v>3</v>
      </c>
      <c r="I4" s="19" t="s">
        <v>4</v>
      </c>
      <c r="J4" s="2"/>
      <c r="K4" s="2"/>
      <c r="L4" s="2"/>
      <c r="M4" s="2"/>
      <c r="N4" s="2"/>
      <c r="O4" s="2"/>
      <c r="P4" s="2"/>
      <c r="Q4" s="2"/>
      <c r="R4" s="2"/>
      <c r="S4" s="2"/>
      <c r="T4" s="2"/>
      <c r="U4" s="2"/>
      <c r="V4" s="2"/>
      <c r="W4" s="2"/>
      <c r="X4" s="2"/>
      <c r="Y4" s="2"/>
      <c r="Z4" s="2"/>
      <c r="AA4" s="2"/>
      <c r="AB4" s="2"/>
      <c r="AC4" s="2"/>
      <c r="AD4" s="2"/>
      <c r="AE4" s="2"/>
      <c r="AF4" s="2"/>
      <c r="AG4" s="2"/>
    </row>
    <row r="5" spans="1:33" ht="15.75">
      <c r="B5" s="22" t="s">
        <v>163</v>
      </c>
    </row>
    <row r="6" spans="1:33">
      <c r="B6" s="2" t="s">
        <v>303</v>
      </c>
      <c r="C6" s="2" t="s">
        <v>104</v>
      </c>
      <c r="E6" s="43">
        <f ca="1">'3. General Model Inputs'!E8</f>
        <v>2.5000000000000001E-2</v>
      </c>
      <c r="F6" s="43">
        <f ca="1">'3. General Model Inputs'!F8</f>
        <v>2.5000000000000001E-2</v>
      </c>
      <c r="G6" s="43">
        <f ca="1">'3. General Model Inputs'!G8</f>
        <v>2.5000000000000001E-2</v>
      </c>
      <c r="H6" s="43">
        <f ca="1">'3. General Model Inputs'!H8</f>
        <v>2.5000000000000001E-2</v>
      </c>
      <c r="I6" s="43">
        <f ca="1">'3. General Model Inputs'!I8</f>
        <v>2.5000000000000001E-2</v>
      </c>
    </row>
    <row r="7" spans="1:33">
      <c r="B7" s="2" t="s">
        <v>25</v>
      </c>
      <c r="C7" s="2" t="s">
        <v>104</v>
      </c>
      <c r="E7" s="43">
        <f ca="1">'3. General Model Inputs'!E9</f>
        <v>7.1999999999999995E-2</v>
      </c>
      <c r="F7" s="43">
        <f ca="1">'3. General Model Inputs'!F9</f>
        <v>7.1999999999999995E-2</v>
      </c>
      <c r="G7" s="43">
        <f ca="1">'3. General Model Inputs'!G9</f>
        <v>7.1999999999999995E-2</v>
      </c>
      <c r="H7" s="43">
        <f ca="1">'3. General Model Inputs'!H9</f>
        <v>7.1999999999999995E-2</v>
      </c>
      <c r="I7" s="43">
        <f ca="1">'3. General Model Inputs'!I9</f>
        <v>7.1999999999999995E-2</v>
      </c>
    </row>
    <row r="8" spans="1:33">
      <c r="B8" s="2" t="s">
        <v>23</v>
      </c>
      <c r="C8" s="2" t="s">
        <v>104</v>
      </c>
      <c r="E8" s="43">
        <f ca="1">'3. General Model Inputs'!E10</f>
        <v>6.4750000000000002E-2</v>
      </c>
      <c r="F8" s="43">
        <f ca="1">'3. General Model Inputs'!F10</f>
        <v>6.4750000000000002E-2</v>
      </c>
      <c r="G8" s="43">
        <f ca="1">'3. General Model Inputs'!G10</f>
        <v>6.4750000000000002E-2</v>
      </c>
      <c r="H8" s="43">
        <f ca="1">'3. General Model Inputs'!H10</f>
        <v>6.4750000000000002E-2</v>
      </c>
      <c r="I8" s="43">
        <f ca="1">'3. General Model Inputs'!I10</f>
        <v>6.4750000000000002E-2</v>
      </c>
    </row>
    <row r="9" spans="1:33">
      <c r="B9" s="2" t="s">
        <v>453</v>
      </c>
      <c r="C9" s="2" t="s">
        <v>104</v>
      </c>
      <c r="E9" s="44">
        <f ca="1">'3. General Model Inputs'!E11</f>
        <v>0.3</v>
      </c>
      <c r="F9" s="44">
        <f ca="1">'3. General Model Inputs'!F11</f>
        <v>0.3</v>
      </c>
      <c r="G9" s="44">
        <f ca="1">'3. General Model Inputs'!G11</f>
        <v>0.3</v>
      </c>
      <c r="H9" s="44">
        <f ca="1">'3. General Model Inputs'!H11</f>
        <v>0.3</v>
      </c>
      <c r="I9" s="44">
        <f ca="1">'3. General Model Inputs'!I11</f>
        <v>0.3</v>
      </c>
    </row>
    <row r="10" spans="1:33">
      <c r="B10" s="2" t="s">
        <v>24</v>
      </c>
      <c r="C10" s="2" t="s">
        <v>104</v>
      </c>
      <c r="E10" s="44">
        <f ca="1">'3. General Model Inputs'!E12</f>
        <v>0.6</v>
      </c>
      <c r="F10" s="44">
        <f ca="1">'3. General Model Inputs'!F12</f>
        <v>0.6</v>
      </c>
      <c r="G10" s="44">
        <f ca="1">'3. General Model Inputs'!G12</f>
        <v>0.6</v>
      </c>
      <c r="H10" s="44">
        <f ca="1">'3. General Model Inputs'!H12</f>
        <v>0.6</v>
      </c>
      <c r="I10" s="44">
        <f ca="1">'3. General Model Inputs'!I12</f>
        <v>0.6</v>
      </c>
    </row>
    <row r="11" spans="1:33">
      <c r="B11" s="2" t="s">
        <v>64</v>
      </c>
      <c r="E11" s="25">
        <f ca="1">'3. General Model Inputs'!E13</f>
        <v>0.5</v>
      </c>
      <c r="F11" s="25">
        <f ca="1">'3. General Model Inputs'!F13</f>
        <v>0.5</v>
      </c>
      <c r="G11" s="25">
        <f ca="1">'3. General Model Inputs'!G13</f>
        <v>0.5</v>
      </c>
      <c r="H11" s="25">
        <f ca="1">'3. General Model Inputs'!H13</f>
        <v>0.5</v>
      </c>
      <c r="I11" s="25">
        <f ca="1">'3. General Model Inputs'!I13</f>
        <v>0.5</v>
      </c>
    </row>
    <row r="12" spans="1:33">
      <c r="B12" s="2" t="s">
        <v>22</v>
      </c>
      <c r="E12" s="45">
        <v>1</v>
      </c>
      <c r="F12" s="45">
        <f ca="1">E12/(1+F7)</f>
        <v>0.93283582089552231</v>
      </c>
      <c r="G12" s="45">
        <f ca="1">F12/(1+G7)</f>
        <v>0.87018266874582295</v>
      </c>
      <c r="H12" s="45">
        <f ca="1">G12/(1+H7)</f>
        <v>0.81173756412856612</v>
      </c>
      <c r="I12" s="45">
        <f ca="1">H12/(1+I7)</f>
        <v>0.75721787698560272</v>
      </c>
    </row>
    <row r="13" spans="1:33">
      <c r="E13" s="45"/>
      <c r="F13" s="45"/>
      <c r="G13" s="45"/>
      <c r="H13" s="45"/>
      <c r="I13" s="45"/>
    </row>
    <row r="14" spans="1:33">
      <c r="E14" s="94"/>
      <c r="F14" s="94"/>
      <c r="G14" s="94"/>
      <c r="H14" s="94"/>
      <c r="I14" s="94"/>
    </row>
    <row r="16" spans="1:33" ht="15.75">
      <c r="A16" s="35">
        <f>'2. Notes and Assumptions'!B61</f>
        <v>37</v>
      </c>
      <c r="B16" s="10" t="s">
        <v>267</v>
      </c>
    </row>
    <row r="17" spans="1:9">
      <c r="B17" s="2" t="s">
        <v>250</v>
      </c>
      <c r="E17" s="121">
        <v>10</v>
      </c>
      <c r="F17" s="30">
        <f>IF(E17&gt;=1,E17-1,0)</f>
        <v>9</v>
      </c>
      <c r="G17" s="30">
        <f t="shared" ref="G17:I17" si="0">IF(F17&gt;=1,F17-1,0)</f>
        <v>8</v>
      </c>
      <c r="H17" s="30">
        <f t="shared" si="0"/>
        <v>7</v>
      </c>
      <c r="I17" s="30">
        <f t="shared" si="0"/>
        <v>6</v>
      </c>
    </row>
    <row r="18" spans="1:9">
      <c r="B18" s="6" t="s">
        <v>116</v>
      </c>
      <c r="C18" s="6"/>
      <c r="E18" s="121">
        <f>10195.1708658591*1000</f>
        <v>10195170.865859099</v>
      </c>
      <c r="F18" s="46">
        <f ca="1">E23</f>
        <v>9500775.5409800187</v>
      </c>
      <c r="G18" s="46">
        <f t="shared" ref="G18:I18" ca="1" si="1">F23</f>
        <v>8656262.1595595721</v>
      </c>
      <c r="H18" s="46">
        <f t="shared" ca="1" si="1"/>
        <v>7763585.1243549911</v>
      </c>
      <c r="I18" s="46">
        <f t="shared" ca="1" si="1"/>
        <v>6820864.0735404566</v>
      </c>
    </row>
    <row r="19" spans="1:9">
      <c r="B19" s="6" t="s">
        <v>252</v>
      </c>
      <c r="C19" s="6"/>
      <c r="E19" s="30">
        <f>'11. Water - Capex Input'!J185</f>
        <v>103772.81</v>
      </c>
      <c r="F19" s="121">
        <v>0</v>
      </c>
      <c r="G19" s="121">
        <v>0</v>
      </c>
      <c r="H19" s="121">
        <v>0</v>
      </c>
      <c r="I19" s="121">
        <v>0</v>
      </c>
    </row>
    <row r="20" spans="1:9">
      <c r="B20" s="6" t="s">
        <v>253</v>
      </c>
      <c r="C20" s="6"/>
      <c r="E20" s="121">
        <v>0</v>
      </c>
      <c r="F20" s="121">
        <v>0</v>
      </c>
      <c r="G20" s="121">
        <v>0</v>
      </c>
      <c r="H20" s="121">
        <v>0</v>
      </c>
      <c r="I20" s="121">
        <v>0</v>
      </c>
    </row>
    <row r="21" spans="1:9">
      <c r="B21" s="6" t="s">
        <v>12</v>
      </c>
      <c r="C21" s="6"/>
      <c r="E21" s="46">
        <f ca="1">E6*SUM(E18:E20)</f>
        <v>257473.5918964775</v>
      </c>
      <c r="F21" s="46">
        <f ca="1">F6*F18</f>
        <v>237519.38852450048</v>
      </c>
      <c r="G21" s="46">
        <f ca="1">G6*G18</f>
        <v>216406.55398898933</v>
      </c>
      <c r="H21" s="46">
        <f ca="1">H6*H18</f>
        <v>194089.62810887478</v>
      </c>
      <c r="I21" s="46">
        <f ca="1">I6*I18</f>
        <v>170521.60183851141</v>
      </c>
    </row>
    <row r="22" spans="1:9">
      <c r="B22" s="6" t="s">
        <v>13</v>
      </c>
      <c r="C22" s="6"/>
      <c r="E22" s="46">
        <f ca="1">IF(E17&gt;1,-SUM(E18:E21)/E17,-SUM(E18:E21))</f>
        <v>-1055641.7267755577</v>
      </c>
      <c r="F22" s="46">
        <f t="shared" ref="F22:I22" ca="1" si="2">IF(F17&gt;1,-SUM(F18:F21)/F17,-SUM(F18:F21))</f>
        <v>-1082032.7699449465</v>
      </c>
      <c r="G22" s="46">
        <f t="shared" ca="1" si="2"/>
        <v>-1109083.5891935702</v>
      </c>
      <c r="H22" s="46">
        <f t="shared" ca="1" si="2"/>
        <v>-1136810.6789234094</v>
      </c>
      <c r="I22" s="46">
        <f t="shared" ca="1" si="2"/>
        <v>-1165230.9458964947</v>
      </c>
    </row>
    <row r="23" spans="1:9">
      <c r="B23" s="6" t="s">
        <v>118</v>
      </c>
      <c r="C23" s="6"/>
      <c r="E23" s="30">
        <f ca="1">SUM(E18:E22)</f>
        <v>9500775.5409800187</v>
      </c>
      <c r="F23" s="30">
        <f t="shared" ref="F23:I23" ca="1" si="3">SUM(F18:F22)</f>
        <v>8656262.1595595721</v>
      </c>
      <c r="G23" s="30">
        <f t="shared" ca="1" si="3"/>
        <v>7763585.1243549911</v>
      </c>
      <c r="H23" s="30">
        <f t="shared" ca="1" si="3"/>
        <v>6820864.0735404566</v>
      </c>
      <c r="I23" s="30">
        <f t="shared" ca="1" si="3"/>
        <v>5826154.7294824738</v>
      </c>
    </row>
    <row r="24" spans="1:9">
      <c r="C24" s="6"/>
      <c r="E24" s="30"/>
      <c r="F24" s="30"/>
      <c r="G24" s="30"/>
      <c r="H24" s="30"/>
      <c r="I24" s="30"/>
    </row>
    <row r="25" spans="1:9">
      <c r="B25" s="6" t="s">
        <v>255</v>
      </c>
      <c r="C25" s="6"/>
      <c r="E25" s="30">
        <f>E18+0.5*E19</f>
        <v>10247057.270859098</v>
      </c>
      <c r="F25" s="30">
        <f t="shared" ref="F25:I25" ca="1" si="4">F18</f>
        <v>9500775.5409800187</v>
      </c>
      <c r="G25" s="30">
        <f t="shared" ca="1" si="4"/>
        <v>8656262.1595595721</v>
      </c>
      <c r="H25" s="30">
        <f t="shared" ca="1" si="4"/>
        <v>7763585.1243549911</v>
      </c>
      <c r="I25" s="30">
        <f t="shared" ca="1" si="4"/>
        <v>6820864.0735404566</v>
      </c>
    </row>
    <row r="26" spans="1:9">
      <c r="C26" s="6"/>
      <c r="E26" s="30"/>
      <c r="F26" s="30"/>
      <c r="G26" s="30"/>
      <c r="H26" s="30"/>
      <c r="I26" s="30"/>
    </row>
    <row r="27" spans="1:9" ht="15.75">
      <c r="A27" s="35">
        <f>'2. Notes and Assumptions'!B62</f>
        <v>38</v>
      </c>
      <c r="B27" s="10" t="s">
        <v>268</v>
      </c>
    </row>
    <row r="28" spans="1:9">
      <c r="B28" s="2" t="s">
        <v>250</v>
      </c>
      <c r="E28" s="121">
        <f>E17</f>
        <v>10</v>
      </c>
      <c r="F28" s="30">
        <f>IF(E28&gt;=1,E28-1,0)</f>
        <v>9</v>
      </c>
      <c r="G28" s="30">
        <f t="shared" ref="G28:I28" si="5">IF(F28&gt;=1,F28-1,0)</f>
        <v>8</v>
      </c>
      <c r="H28" s="30">
        <f t="shared" si="5"/>
        <v>7</v>
      </c>
      <c r="I28" s="30">
        <f t="shared" si="5"/>
        <v>6</v>
      </c>
    </row>
    <row r="29" spans="1:9">
      <c r="B29" s="6" t="s">
        <v>116</v>
      </c>
      <c r="C29" s="6"/>
      <c r="E29" s="121">
        <f>9508.36199*1000</f>
        <v>9508361.9900000002</v>
      </c>
      <c r="F29" s="46">
        <f>E34</f>
        <v>8557525.7910000011</v>
      </c>
      <c r="G29" s="46">
        <f t="shared" ref="G29:I29" si="6">F34</f>
        <v>7606689.5920000011</v>
      </c>
      <c r="H29" s="46">
        <f t="shared" si="6"/>
        <v>6655853.3930000011</v>
      </c>
      <c r="I29" s="46">
        <f t="shared" si="6"/>
        <v>5705017.1940000011</v>
      </c>
    </row>
    <row r="30" spans="1:9">
      <c r="B30" s="6" t="s">
        <v>252</v>
      </c>
      <c r="C30" s="6"/>
      <c r="E30" s="121">
        <v>0</v>
      </c>
      <c r="F30" s="121">
        <v>0</v>
      </c>
      <c r="G30" s="121">
        <v>0</v>
      </c>
      <c r="H30" s="121">
        <v>0</v>
      </c>
      <c r="I30" s="121">
        <v>0</v>
      </c>
    </row>
    <row r="31" spans="1:9">
      <c r="B31" s="6" t="s">
        <v>253</v>
      </c>
      <c r="C31" s="6"/>
      <c r="E31" s="121">
        <v>0</v>
      </c>
      <c r="F31" s="121">
        <v>0</v>
      </c>
      <c r="G31" s="121">
        <v>0</v>
      </c>
      <c r="H31" s="121">
        <v>0</v>
      </c>
      <c r="I31" s="121">
        <v>0</v>
      </c>
    </row>
    <row r="32" spans="1:9">
      <c r="B32" s="6" t="s">
        <v>254</v>
      </c>
      <c r="C32" s="6"/>
      <c r="E32" s="46"/>
      <c r="F32" s="46"/>
      <c r="G32" s="46"/>
      <c r="H32" s="46"/>
      <c r="I32" s="46"/>
    </row>
    <row r="33" spans="1:9">
      <c r="B33" s="6" t="s">
        <v>13</v>
      </c>
      <c r="C33" s="6"/>
      <c r="E33" s="46">
        <f>IF(E28&gt;1,-SUM(E29:E32)/E28,-SUM(E29:E32))</f>
        <v>-950836.19900000002</v>
      </c>
      <c r="F33" s="46">
        <f t="shared" ref="F33" si="7">IF(F28&gt;1,-SUM(F29:F32)/F28,-SUM(F29:F32))</f>
        <v>-950836.19900000014</v>
      </c>
      <c r="G33" s="46">
        <f t="shared" ref="G33:I33" si="8">IF(G28&gt;1,-SUM(G29:G32)/G28,-SUM(G29:G32))</f>
        <v>-950836.19900000014</v>
      </c>
      <c r="H33" s="46">
        <f t="shared" si="8"/>
        <v>-950836.19900000014</v>
      </c>
      <c r="I33" s="46">
        <f t="shared" si="8"/>
        <v>-950836.19900000014</v>
      </c>
    </row>
    <row r="34" spans="1:9">
      <c r="B34" s="6" t="s">
        <v>118</v>
      </c>
      <c r="C34" s="6"/>
      <c r="E34" s="30">
        <f>SUM(E29:E33)</f>
        <v>8557525.7910000011</v>
      </c>
      <c r="F34" s="30">
        <f t="shared" ref="F34:I34" si="9">SUM(F29:F33)</f>
        <v>7606689.5920000011</v>
      </c>
      <c r="G34" s="30">
        <f t="shared" si="9"/>
        <v>6655853.3930000011</v>
      </c>
      <c r="H34" s="30">
        <f t="shared" si="9"/>
        <v>5705017.1940000011</v>
      </c>
      <c r="I34" s="30">
        <f t="shared" si="9"/>
        <v>4754180.995000001</v>
      </c>
    </row>
    <row r="35" spans="1:9">
      <c r="C35" s="6"/>
      <c r="E35" s="30"/>
      <c r="F35" s="30"/>
      <c r="G35" s="30"/>
      <c r="H35" s="30"/>
      <c r="I35" s="30"/>
    </row>
    <row r="36" spans="1:9" ht="15.75">
      <c r="B36" s="10" t="s">
        <v>15</v>
      </c>
    </row>
    <row r="37" spans="1:9">
      <c r="B37" s="2" t="s">
        <v>16</v>
      </c>
      <c r="C37" s="30" t="s">
        <v>106</v>
      </c>
      <c r="D37" s="30"/>
      <c r="E37" s="30">
        <f>E25</f>
        <v>10247057.270859098</v>
      </c>
      <c r="F37" s="30">
        <f t="shared" ref="F37:I37" ca="1" si="10">F25</f>
        <v>9500775.5409800187</v>
      </c>
      <c r="G37" s="30">
        <f t="shared" ca="1" si="10"/>
        <v>8656262.1595595721</v>
      </c>
      <c r="H37" s="30">
        <f t="shared" ca="1" si="10"/>
        <v>7763585.1243549911</v>
      </c>
      <c r="I37" s="30">
        <f t="shared" ca="1" si="10"/>
        <v>6820864.0735404566</v>
      </c>
    </row>
    <row r="38" spans="1:9">
      <c r="B38" s="2" t="s">
        <v>15</v>
      </c>
      <c r="C38" s="30" t="s">
        <v>106</v>
      </c>
      <c r="D38" s="30"/>
      <c r="E38" s="30">
        <f ca="1">E37*E$7</f>
        <v>737788.12350185495</v>
      </c>
      <c r="F38" s="30">
        <f t="shared" ref="F38:I38" ca="1" si="11">F37*F$7</f>
        <v>684055.83895056124</v>
      </c>
      <c r="G38" s="30">
        <f t="shared" ca="1" si="11"/>
        <v>623250.87548828917</v>
      </c>
      <c r="H38" s="30">
        <f t="shared" ca="1" si="11"/>
        <v>558978.12895355932</v>
      </c>
      <c r="I38" s="30">
        <f t="shared" ca="1" si="11"/>
        <v>491102.21329491283</v>
      </c>
    </row>
    <row r="39" spans="1:9">
      <c r="B39" s="2" t="s">
        <v>195</v>
      </c>
      <c r="C39" s="30" t="s">
        <v>106</v>
      </c>
      <c r="D39" s="30"/>
      <c r="E39" s="30">
        <f ca="1">-E21</f>
        <v>-257473.5918964775</v>
      </c>
      <c r="F39" s="30">
        <f t="shared" ref="F39:I39" ca="1" si="12">-F21</f>
        <v>-237519.38852450048</v>
      </c>
      <c r="G39" s="30">
        <f t="shared" ca="1" si="12"/>
        <v>-216406.55398898933</v>
      </c>
      <c r="H39" s="30">
        <f t="shared" ca="1" si="12"/>
        <v>-194089.62810887478</v>
      </c>
      <c r="I39" s="30">
        <f t="shared" ca="1" si="12"/>
        <v>-170521.60183851141</v>
      </c>
    </row>
    <row r="40" spans="1:9">
      <c r="B40" s="2" t="s">
        <v>28</v>
      </c>
      <c r="C40" s="30" t="s">
        <v>106</v>
      </c>
      <c r="D40" s="30"/>
      <c r="E40" s="30">
        <f ca="1">-E$11*E64</f>
        <v>202340.15609593139</v>
      </c>
      <c r="F40" s="30">
        <f ca="1">-F$11*F64</f>
        <v>197991.19931506107</v>
      </c>
      <c r="G40" s="30">
        <f ca="1">-G$11*G64</f>
        <v>193069.79758483343</v>
      </c>
      <c r="H40" s="30">
        <f ca="1">-H$11*H64</f>
        <v>187867.72216217872</v>
      </c>
      <c r="I40" s="30">
        <f ca="1">-I$11*I64</f>
        <v>182374.01523855701</v>
      </c>
    </row>
    <row r="41" spans="1:9">
      <c r="B41" s="2" t="s">
        <v>17</v>
      </c>
      <c r="C41" s="30" t="s">
        <v>106</v>
      </c>
      <c r="D41" s="30"/>
      <c r="E41" s="48">
        <f ca="1">SUM(E38:E40)</f>
        <v>682654.68770130887</v>
      </c>
      <c r="F41" s="48">
        <f ca="1">SUM(F38:F40)</f>
        <v>644527.6497411218</v>
      </c>
      <c r="G41" s="48">
        <f ca="1">SUM(G38:G40)</f>
        <v>599914.1190841333</v>
      </c>
      <c r="H41" s="48">
        <f ca="1">SUM(H38:H40)</f>
        <v>552756.22300686326</v>
      </c>
      <c r="I41" s="48">
        <f ca="1">SUM(I38:I40)</f>
        <v>502954.62669495842</v>
      </c>
    </row>
    <row r="42" spans="1:9">
      <c r="C42" s="30"/>
      <c r="D42" s="30"/>
      <c r="E42" s="30"/>
      <c r="F42" s="30"/>
      <c r="G42" s="30"/>
      <c r="H42" s="30"/>
      <c r="I42" s="30"/>
    </row>
    <row r="43" spans="1:9" ht="15.75">
      <c r="B43" s="10" t="s">
        <v>29</v>
      </c>
      <c r="C43" s="30"/>
      <c r="D43" s="49" t="s">
        <v>65</v>
      </c>
      <c r="E43" s="30"/>
      <c r="F43" s="30"/>
      <c r="G43" s="30"/>
      <c r="H43" s="30"/>
      <c r="I43" s="30"/>
    </row>
    <row r="44" spans="1:9">
      <c r="B44" s="2" t="s">
        <v>15</v>
      </c>
      <c r="C44" s="30" t="s">
        <v>106</v>
      </c>
      <c r="D44" s="30">
        <f t="shared" ref="D44:D50" ca="1" si="13">SUMPRODUCT(E$12:I$12,E44:I44)</f>
        <v>2635467.2607669011</v>
      </c>
      <c r="E44" s="30">
        <f ca="1">E41</f>
        <v>682654.68770130887</v>
      </c>
      <c r="F44" s="30">
        <f ca="1">F41</f>
        <v>644527.6497411218</v>
      </c>
      <c r="G44" s="30">
        <f ca="1">G41</f>
        <v>599914.1190841333</v>
      </c>
      <c r="H44" s="30">
        <f ca="1">H41</f>
        <v>552756.22300686326</v>
      </c>
      <c r="I44" s="30">
        <f ca="1">I41</f>
        <v>502954.62669495842</v>
      </c>
    </row>
    <row r="45" spans="1:9">
      <c r="B45" s="2" t="s">
        <v>30</v>
      </c>
      <c r="C45" s="30" t="s">
        <v>106</v>
      </c>
      <c r="D45" s="30">
        <f t="shared" ca="1" si="13"/>
        <v>0</v>
      </c>
      <c r="E45" s="30"/>
      <c r="F45" s="30"/>
      <c r="G45" s="30"/>
      <c r="H45" s="30"/>
      <c r="I45" s="30"/>
    </row>
    <row r="46" spans="1:9">
      <c r="A46" s="35">
        <f>'2. Notes and Assumptions'!B64</f>
        <v>40</v>
      </c>
      <c r="B46" s="2" t="s">
        <v>457</v>
      </c>
      <c r="C46" s="30" t="s">
        <v>106</v>
      </c>
      <c r="D46" s="30">
        <f t="shared" ca="1" si="13"/>
        <v>-5101227.1700970419</v>
      </c>
      <c r="E46" s="138">
        <v>-1228810.574509446</v>
      </c>
      <c r="F46" s="138">
        <v>-1199381.4501109999</v>
      </c>
      <c r="G46" s="138">
        <v>-1164610.7229144666</v>
      </c>
      <c r="H46" s="138">
        <v>-1127856.977682506</v>
      </c>
      <c r="I46" s="138">
        <v>-1089042.7952178447</v>
      </c>
    </row>
    <row r="47" spans="1:9">
      <c r="B47" s="2" t="s">
        <v>13</v>
      </c>
      <c r="C47" s="30" t="s">
        <v>106</v>
      </c>
      <c r="D47" s="30">
        <f t="shared" ca="1" si="13"/>
        <v>4157031.0744466628</v>
      </c>
      <c r="E47" s="30">
        <f>-E33</f>
        <v>950836.19900000002</v>
      </c>
      <c r="F47" s="30">
        <f t="shared" ref="F47:I47" si="14">-F33</f>
        <v>950836.19900000014</v>
      </c>
      <c r="G47" s="30">
        <f t="shared" si="14"/>
        <v>950836.19900000014</v>
      </c>
      <c r="H47" s="30">
        <f t="shared" si="14"/>
        <v>950836.19900000014</v>
      </c>
      <c r="I47" s="30">
        <f t="shared" si="14"/>
        <v>950836.19900000014</v>
      </c>
    </row>
    <row r="48" spans="1:9">
      <c r="B48" s="2" t="s">
        <v>31</v>
      </c>
      <c r="C48" s="30" t="s">
        <v>106</v>
      </c>
      <c r="D48" s="30">
        <f t="shared" ca="1" si="13"/>
        <v>0</v>
      </c>
      <c r="E48" s="94"/>
      <c r="F48" s="94"/>
      <c r="G48" s="94"/>
      <c r="H48" s="94"/>
      <c r="I48" s="94"/>
    </row>
    <row r="49" spans="1:9">
      <c r="B49" s="2" t="s">
        <v>32</v>
      </c>
      <c r="C49" s="30" t="s">
        <v>106</v>
      </c>
      <c r="D49" s="30">
        <f t="shared" ca="1" si="13"/>
        <v>-1691271.1651165218</v>
      </c>
      <c r="E49" s="30">
        <f ca="1">E64</f>
        <v>-404680.31219186279</v>
      </c>
      <c r="F49" s="30">
        <f t="shared" ref="F49:I49" ca="1" si="15">F64</f>
        <v>-395982.39863012213</v>
      </c>
      <c r="G49" s="30">
        <f t="shared" ca="1" si="15"/>
        <v>-386139.59516966686</v>
      </c>
      <c r="H49" s="30">
        <f t="shared" ca="1" si="15"/>
        <v>-375735.44432435744</v>
      </c>
      <c r="I49" s="30">
        <f t="shared" ca="1" si="15"/>
        <v>-364748.03047711402</v>
      </c>
    </row>
    <row r="50" spans="1:9">
      <c r="C50" s="30"/>
      <c r="D50" s="48">
        <f t="shared" ca="1" si="13"/>
        <v>0</v>
      </c>
      <c r="E50" s="48">
        <f ca="1">SUM(E44:E49)</f>
        <v>0</v>
      </c>
      <c r="F50" s="48">
        <f ca="1">SUM(F44:F49)</f>
        <v>0</v>
      </c>
      <c r="G50" s="48">
        <f ca="1">SUM(G44:G49)</f>
        <v>0</v>
      </c>
      <c r="H50" s="48">
        <f ca="1">SUM(H44:H49)</f>
        <v>0</v>
      </c>
      <c r="I50" s="48">
        <f ca="1">SUM(I44:I49)</f>
        <v>0</v>
      </c>
    </row>
    <row r="51" spans="1:9">
      <c r="C51" s="30"/>
      <c r="D51" s="30"/>
      <c r="E51" s="30"/>
      <c r="F51" s="30"/>
      <c r="G51" s="30"/>
      <c r="H51" s="30"/>
      <c r="I51" s="30"/>
    </row>
    <row r="52" spans="1:9" ht="15.75">
      <c r="B52" s="10" t="s">
        <v>66</v>
      </c>
      <c r="C52" s="30"/>
      <c r="D52" s="30">
        <f ca="1">SUMPRODUCT(E$12:I$12,E52:I52)</f>
        <v>0</v>
      </c>
      <c r="E52" s="121">
        <f>E14*'25. Sewer - Price Setting'!E25</f>
        <v>0</v>
      </c>
      <c r="F52" s="121">
        <f>F14*'25. Sewer - Price Setting'!F25</f>
        <v>0</v>
      </c>
      <c r="G52" s="121">
        <f>G14*'25. Sewer - Price Setting'!G25</f>
        <v>0</v>
      </c>
      <c r="H52" s="121">
        <f>H14*'25. Sewer - Price Setting'!H25</f>
        <v>0</v>
      </c>
      <c r="I52" s="121">
        <f>I14*'25. Sewer - Price Setting'!I25</f>
        <v>0</v>
      </c>
    </row>
    <row r="53" spans="1:9">
      <c r="B53" s="12" t="s">
        <v>257</v>
      </c>
      <c r="E53" s="13">
        <f ca="1">E50-E52</f>
        <v>0</v>
      </c>
      <c r="F53" s="13">
        <f t="shared" ref="F53:I53" ca="1" si="16">F50-F52</f>
        <v>0</v>
      </c>
      <c r="G53" s="13">
        <f t="shared" ca="1" si="16"/>
        <v>0</v>
      </c>
      <c r="H53" s="13">
        <f t="shared" ca="1" si="16"/>
        <v>0</v>
      </c>
      <c r="I53" s="13">
        <f t="shared" ca="1" si="16"/>
        <v>0</v>
      </c>
    </row>
    <row r="54" spans="1:9">
      <c r="C54" s="30"/>
      <c r="D54" s="30"/>
      <c r="E54" s="30"/>
      <c r="F54" s="30"/>
      <c r="G54" s="30"/>
      <c r="H54" s="30"/>
      <c r="I54" s="30"/>
    </row>
    <row r="55" spans="1:9" ht="15.75">
      <c r="B55" s="10" t="s">
        <v>34</v>
      </c>
      <c r="C55" s="30"/>
      <c r="D55" s="30"/>
      <c r="E55" s="30"/>
      <c r="F55" s="30"/>
      <c r="G55" s="30"/>
      <c r="H55" s="30"/>
      <c r="I55" s="30"/>
    </row>
    <row r="56" spans="1:9">
      <c r="B56" s="2" t="s">
        <v>35</v>
      </c>
      <c r="C56" s="30"/>
      <c r="D56" s="30"/>
      <c r="E56" s="30">
        <f>E52</f>
        <v>0</v>
      </c>
      <c r="F56" s="30">
        <f>F52</f>
        <v>0</v>
      </c>
      <c r="G56" s="30">
        <f>G52</f>
        <v>0</v>
      </c>
      <c r="H56" s="30">
        <f>H52</f>
        <v>0</v>
      </c>
      <c r="I56" s="30">
        <f>I52</f>
        <v>0</v>
      </c>
    </row>
    <row r="57" spans="1:9">
      <c r="B57" s="2" t="s">
        <v>36</v>
      </c>
      <c r="C57" s="30"/>
      <c r="D57" s="30"/>
      <c r="E57" s="30">
        <f>-E45</f>
        <v>0</v>
      </c>
      <c r="F57" s="30">
        <f>-F45</f>
        <v>0</v>
      </c>
      <c r="G57" s="30">
        <f>-G45</f>
        <v>0</v>
      </c>
      <c r="H57" s="30">
        <f>-H45</f>
        <v>0</v>
      </c>
      <c r="I57" s="30">
        <f>-I45</f>
        <v>0</v>
      </c>
    </row>
    <row r="58" spans="1:9">
      <c r="B58" s="2" t="s">
        <v>40</v>
      </c>
      <c r="C58" s="30"/>
      <c r="D58" s="30"/>
      <c r="E58" s="30">
        <f>E33</f>
        <v>-950836.19900000002</v>
      </c>
      <c r="F58" s="30">
        <f>F33</f>
        <v>-950836.19900000014</v>
      </c>
      <c r="G58" s="30">
        <f>G33</f>
        <v>-950836.19900000014</v>
      </c>
      <c r="H58" s="30">
        <f>H33</f>
        <v>-950836.19900000014</v>
      </c>
      <c r="I58" s="30">
        <f>I33</f>
        <v>-950836.19900000014</v>
      </c>
    </row>
    <row r="59" spans="1:9">
      <c r="B59" s="2" t="s">
        <v>41</v>
      </c>
      <c r="C59" s="30"/>
      <c r="D59" s="30"/>
      <c r="E59" s="30">
        <f ca="1">-E25*E10*E8</f>
        <v>-398098.17497287598</v>
      </c>
      <c r="F59" s="30">
        <f ca="1">-F25*F10*F8</f>
        <v>-369105.12976707373</v>
      </c>
      <c r="G59" s="30">
        <f ca="1">-G25*G10*G8</f>
        <v>-336295.78489888937</v>
      </c>
      <c r="H59" s="30">
        <f ca="1">-H25*H10*H8</f>
        <v>-301615.28208119143</v>
      </c>
      <c r="I59" s="30">
        <f ca="1">-I25*I10*I8</f>
        <v>-264990.56925704674</v>
      </c>
    </row>
    <row r="60" spans="1:9">
      <c r="B60" s="2" t="s">
        <v>42</v>
      </c>
      <c r="C60" s="30"/>
      <c r="D60" s="30"/>
      <c r="E60" s="30">
        <f>-E48</f>
        <v>0</v>
      </c>
      <c r="F60" s="30">
        <f>-F48</f>
        <v>0</v>
      </c>
      <c r="G60" s="30">
        <f>-G48</f>
        <v>0</v>
      </c>
      <c r="H60" s="30">
        <f>-H48</f>
        <v>0</v>
      </c>
      <c r="I60" s="30">
        <f>-I48</f>
        <v>0</v>
      </c>
    </row>
    <row r="61" spans="1:9">
      <c r="B61" s="2" t="s">
        <v>43</v>
      </c>
      <c r="C61" s="30"/>
      <c r="D61" s="30"/>
      <c r="E61" s="30"/>
      <c r="F61" s="30"/>
      <c r="G61" s="30"/>
      <c r="H61" s="30"/>
      <c r="I61" s="30"/>
    </row>
    <row r="62" spans="1:9">
      <c r="B62" s="2" t="s">
        <v>37</v>
      </c>
      <c r="C62" s="30"/>
      <c r="D62" s="30"/>
      <c r="E62" s="30">
        <f ca="1">SUM(E56:E61)</f>
        <v>-1348934.373972876</v>
      </c>
      <c r="F62" s="30">
        <f ca="1">SUM(F56:F61)</f>
        <v>-1319941.3287670738</v>
      </c>
      <c r="G62" s="30">
        <f ca="1">SUM(G56:G61)</f>
        <v>-1287131.9838988895</v>
      </c>
      <c r="H62" s="30">
        <f ca="1">SUM(H56:H61)</f>
        <v>-1252451.4810811915</v>
      </c>
      <c r="I62" s="30">
        <f ca="1">SUM(I56:I61)</f>
        <v>-1215826.7682570468</v>
      </c>
    </row>
    <row r="63" spans="1:9">
      <c r="C63" s="30"/>
      <c r="D63" s="30"/>
      <c r="E63" s="30"/>
      <c r="F63" s="30"/>
      <c r="G63" s="30"/>
      <c r="H63" s="30"/>
      <c r="I63" s="30"/>
    </row>
    <row r="64" spans="1:9">
      <c r="A64" s="35">
        <f>'2. Notes and Assumptions'!B52</f>
        <v>29</v>
      </c>
      <c r="B64" s="2" t="s">
        <v>32</v>
      </c>
      <c r="C64" s="30"/>
      <c r="D64" s="30"/>
      <c r="E64" s="30">
        <f ca="1">E62*E$9</f>
        <v>-404680.31219186279</v>
      </c>
      <c r="F64" s="30">
        <f ca="1">F62*F$9</f>
        <v>-395982.39863012213</v>
      </c>
      <c r="G64" s="30">
        <f ca="1">G62*G$9</f>
        <v>-386139.59516966686</v>
      </c>
      <c r="H64" s="30">
        <f ca="1">H62*H$9</f>
        <v>-375735.44432435744</v>
      </c>
      <c r="I64" s="30">
        <f ca="1">I62*I$9</f>
        <v>-364748.03047711402</v>
      </c>
    </row>
    <row r="65" spans="3:9">
      <c r="C65" s="30"/>
      <c r="D65" s="30"/>
      <c r="E65" s="30"/>
      <c r="F65" s="30"/>
      <c r="G65" s="30"/>
      <c r="H65" s="30"/>
      <c r="I65" s="30"/>
    </row>
  </sheetData>
  <pageMargins left="0" right="0" top="0" bottom="0" header="0" footer="0"/>
  <pageSetup paperSize="9" scale="85"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F8D8B54F-BB45-8843-86A7-02F6DD20AFFE}">
            <xm:f>'2. Notes and Assumptions'!$D$92="ERROR"</xm:f>
            <x14:dxf>
              <font>
                <color theme="0"/>
              </font>
              <fill>
                <patternFill patternType="solid">
                  <fgColor indexed="64"/>
                  <bgColor rgb="FFFF0000"/>
                </patternFill>
              </fill>
            </x14:dxf>
          </x14:cfRule>
          <x14:cfRule type="expression" priority="2" id="{B8FF024B-073A-0546-8910-C31EA4DF22A3}">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sheetPr codeName="Sheet11"/>
  <dimension ref="A1:AG65"/>
  <sheetViews>
    <sheetView zoomScaleNormal="100" workbookViewId="0">
      <pane ySplit="4" topLeftCell="A5" activePane="bottomLeft" state="frozen"/>
      <selection pane="bottomLeft" activeCell="B16" sqref="B16"/>
    </sheetView>
  </sheetViews>
  <sheetFormatPr defaultColWidth="10.6640625" defaultRowHeight="15"/>
  <cols>
    <col min="1" max="1" width="30.6640625" style="11" customWidth="1"/>
    <col min="2" max="2" width="36.6640625" style="2" customWidth="1"/>
    <col min="3" max="3" width="8.88671875" style="2" customWidth="1"/>
    <col min="4" max="4" width="10.6640625" style="2"/>
    <col min="5" max="9" width="13.5546875" style="2" customWidth="1"/>
    <col min="10" max="16384" width="10.6640625" style="2"/>
  </cols>
  <sheetData>
    <row r="1" spans="1:33" s="6" customFormat="1" ht="31.5">
      <c r="A1" s="92" t="s">
        <v>115</v>
      </c>
      <c r="B1" s="91"/>
      <c r="C1" s="91"/>
      <c r="D1" s="91"/>
      <c r="E1" s="91"/>
      <c r="F1" s="91"/>
      <c r="G1" s="91"/>
      <c r="H1" s="91"/>
    </row>
    <row r="2" spans="1:33" ht="18" customHeight="1">
      <c r="A2" s="3" t="str">
        <f ca="1">MID(CELL("filename",A1),FIND("]",CELL("filename",A1))+1,LEN(CELL("filename",A1))-FIND("]",CELL("filename",A1)))</f>
        <v>9. Gas Abatement CSO</v>
      </c>
      <c r="B2" s="3"/>
      <c r="C2" s="3"/>
      <c r="D2" s="3"/>
      <c r="E2" s="3"/>
      <c r="F2" s="3"/>
      <c r="G2" s="3"/>
      <c r="H2" s="3"/>
    </row>
    <row r="3" spans="1:33" s="6" customFormat="1">
      <c r="A3" s="11">
        <f>'2. Notes and Assumptions'!B58</f>
        <v>34</v>
      </c>
      <c r="B3" s="15"/>
      <c r="C3" s="16" t="s">
        <v>0</v>
      </c>
      <c r="D3" s="17">
        <v>0</v>
      </c>
      <c r="E3" s="17">
        <v>1</v>
      </c>
      <c r="F3" s="17">
        <v>2</v>
      </c>
      <c r="G3" s="17">
        <v>3</v>
      </c>
      <c r="H3" s="17">
        <v>4</v>
      </c>
      <c r="I3" s="17">
        <v>5</v>
      </c>
      <c r="J3" s="2"/>
      <c r="K3" s="2"/>
      <c r="L3" s="2"/>
      <c r="M3" s="2"/>
      <c r="N3" s="2"/>
      <c r="O3" s="2"/>
      <c r="P3" s="2"/>
      <c r="Q3" s="2"/>
      <c r="R3" s="2"/>
      <c r="S3" s="2"/>
      <c r="T3" s="2"/>
      <c r="U3" s="2"/>
      <c r="V3" s="2"/>
      <c r="W3" s="2"/>
      <c r="X3" s="2"/>
      <c r="Y3" s="2"/>
      <c r="Z3" s="2"/>
      <c r="AA3" s="2"/>
      <c r="AB3" s="2"/>
      <c r="AC3" s="2"/>
      <c r="AD3" s="2"/>
      <c r="AE3" s="2"/>
      <c r="AF3" s="2"/>
      <c r="AG3" s="2"/>
    </row>
    <row r="4" spans="1:33" s="6" customFormat="1">
      <c r="A4" s="11"/>
      <c r="B4" s="15"/>
      <c r="C4" s="18" t="s">
        <v>1</v>
      </c>
      <c r="D4" s="19" t="s">
        <v>162</v>
      </c>
      <c r="E4" s="19" t="s">
        <v>10</v>
      </c>
      <c r="F4" s="19" t="s">
        <v>11</v>
      </c>
      <c r="G4" s="19" t="s">
        <v>2</v>
      </c>
      <c r="H4" s="19" t="s">
        <v>3</v>
      </c>
      <c r="I4" s="19" t="s">
        <v>4</v>
      </c>
      <c r="J4" s="2"/>
      <c r="K4" s="2"/>
      <c r="L4" s="2"/>
      <c r="M4" s="2"/>
      <c r="N4" s="2"/>
      <c r="O4" s="2"/>
      <c r="P4" s="2"/>
      <c r="Q4" s="2"/>
      <c r="R4" s="2"/>
      <c r="S4" s="2"/>
      <c r="T4" s="2"/>
      <c r="U4" s="2"/>
      <c r="V4" s="2"/>
      <c r="W4" s="2"/>
      <c r="X4" s="2"/>
      <c r="Y4" s="2"/>
      <c r="Z4" s="2"/>
      <c r="AA4" s="2"/>
      <c r="AB4" s="2"/>
      <c r="AC4" s="2"/>
      <c r="AD4" s="2"/>
      <c r="AE4" s="2"/>
      <c r="AF4" s="2"/>
      <c r="AG4" s="2"/>
    </row>
    <row r="5" spans="1:33" ht="15.75">
      <c r="B5" s="22" t="s">
        <v>163</v>
      </c>
    </row>
    <row r="6" spans="1:33">
      <c r="B6" s="2" t="s">
        <v>303</v>
      </c>
      <c r="C6" s="5" t="s">
        <v>104</v>
      </c>
      <c r="E6" s="43">
        <f ca="1">'3. General Model Inputs'!E8</f>
        <v>2.5000000000000001E-2</v>
      </c>
      <c r="F6" s="43">
        <f ca="1">'3. General Model Inputs'!F8</f>
        <v>2.5000000000000001E-2</v>
      </c>
      <c r="G6" s="43">
        <f ca="1">'3. General Model Inputs'!G8</f>
        <v>2.5000000000000001E-2</v>
      </c>
      <c r="H6" s="43">
        <f ca="1">'3. General Model Inputs'!H8</f>
        <v>2.5000000000000001E-2</v>
      </c>
      <c r="I6" s="43">
        <f ca="1">'3. General Model Inputs'!I8</f>
        <v>2.5000000000000001E-2</v>
      </c>
    </row>
    <row r="7" spans="1:33">
      <c r="B7" s="2" t="s">
        <v>25</v>
      </c>
      <c r="C7" s="5" t="s">
        <v>104</v>
      </c>
      <c r="E7" s="43">
        <f ca="1">'3. General Model Inputs'!E9</f>
        <v>7.1999999999999995E-2</v>
      </c>
      <c r="F7" s="43">
        <f ca="1">'3. General Model Inputs'!F9</f>
        <v>7.1999999999999995E-2</v>
      </c>
      <c r="G7" s="43">
        <f ca="1">'3. General Model Inputs'!G9</f>
        <v>7.1999999999999995E-2</v>
      </c>
      <c r="H7" s="43">
        <f ca="1">'3. General Model Inputs'!H9</f>
        <v>7.1999999999999995E-2</v>
      </c>
      <c r="I7" s="43">
        <f ca="1">'3. General Model Inputs'!I9</f>
        <v>7.1999999999999995E-2</v>
      </c>
    </row>
    <row r="8" spans="1:33">
      <c r="B8" s="2" t="s">
        <v>23</v>
      </c>
      <c r="C8" s="5" t="s">
        <v>104</v>
      </c>
      <c r="E8" s="43">
        <f ca="1">'3. General Model Inputs'!E10</f>
        <v>6.4750000000000002E-2</v>
      </c>
      <c r="F8" s="43">
        <f ca="1">'3. General Model Inputs'!F10</f>
        <v>6.4750000000000002E-2</v>
      </c>
      <c r="G8" s="43">
        <f ca="1">'3. General Model Inputs'!G10</f>
        <v>6.4750000000000002E-2</v>
      </c>
      <c r="H8" s="43">
        <f ca="1">'3. General Model Inputs'!H10</f>
        <v>6.4750000000000002E-2</v>
      </c>
      <c r="I8" s="43">
        <f ca="1">'3. General Model Inputs'!I10</f>
        <v>6.4750000000000002E-2</v>
      </c>
    </row>
    <row r="9" spans="1:33">
      <c r="B9" s="2" t="s">
        <v>453</v>
      </c>
      <c r="C9" s="5" t="s">
        <v>104</v>
      </c>
      <c r="E9" s="44">
        <f ca="1">'3. General Model Inputs'!E11</f>
        <v>0.3</v>
      </c>
      <c r="F9" s="44">
        <f ca="1">'3. General Model Inputs'!F11</f>
        <v>0.3</v>
      </c>
      <c r="G9" s="44">
        <f ca="1">'3. General Model Inputs'!G11</f>
        <v>0.3</v>
      </c>
      <c r="H9" s="44">
        <f ca="1">'3. General Model Inputs'!H11</f>
        <v>0.3</v>
      </c>
      <c r="I9" s="44">
        <f ca="1">'3. General Model Inputs'!I11</f>
        <v>0.3</v>
      </c>
    </row>
    <row r="10" spans="1:33">
      <c r="B10" s="2" t="s">
        <v>24</v>
      </c>
      <c r="C10" s="5" t="s">
        <v>104</v>
      </c>
      <c r="E10" s="44">
        <f ca="1">'3. General Model Inputs'!E12</f>
        <v>0.6</v>
      </c>
      <c r="F10" s="44">
        <f ca="1">'3. General Model Inputs'!F12</f>
        <v>0.6</v>
      </c>
      <c r="G10" s="44">
        <f ca="1">'3. General Model Inputs'!G12</f>
        <v>0.6</v>
      </c>
      <c r="H10" s="44">
        <f ca="1">'3. General Model Inputs'!H12</f>
        <v>0.6</v>
      </c>
      <c r="I10" s="44">
        <f ca="1">'3. General Model Inputs'!I12</f>
        <v>0.6</v>
      </c>
    </row>
    <row r="11" spans="1:33">
      <c r="B11" s="2" t="s">
        <v>64</v>
      </c>
      <c r="E11" s="25">
        <f ca="1">'3. General Model Inputs'!E13</f>
        <v>0.5</v>
      </c>
      <c r="F11" s="25">
        <f ca="1">'3. General Model Inputs'!F13</f>
        <v>0.5</v>
      </c>
      <c r="G11" s="25">
        <f ca="1">'3. General Model Inputs'!G13</f>
        <v>0.5</v>
      </c>
      <c r="H11" s="25">
        <f ca="1">'3. General Model Inputs'!H13</f>
        <v>0.5</v>
      </c>
      <c r="I11" s="25">
        <f ca="1">'3. General Model Inputs'!I13</f>
        <v>0.5</v>
      </c>
    </row>
    <row r="12" spans="1:33">
      <c r="B12" s="2" t="s">
        <v>22</v>
      </c>
      <c r="E12" s="45">
        <v>1</v>
      </c>
      <c r="F12" s="45">
        <f ca="1">E12/(1+F7)</f>
        <v>0.93283582089552231</v>
      </c>
      <c r="G12" s="45">
        <f ca="1">F12/(1+G7)</f>
        <v>0.87018266874582295</v>
      </c>
      <c r="H12" s="45">
        <f ca="1">G12/(1+H7)</f>
        <v>0.81173756412856612</v>
      </c>
      <c r="I12" s="45">
        <f ca="1">H12/(1+I7)</f>
        <v>0.75721787698560272</v>
      </c>
    </row>
    <row r="13" spans="1:33">
      <c r="E13" s="45"/>
      <c r="F13" s="45"/>
      <c r="G13" s="45"/>
      <c r="H13" s="45"/>
      <c r="I13" s="45"/>
    </row>
    <row r="14" spans="1:33">
      <c r="E14" s="94"/>
      <c r="F14" s="94"/>
      <c r="G14" s="94"/>
      <c r="H14" s="94"/>
      <c r="I14" s="94"/>
    </row>
    <row r="16" spans="1:33" ht="15.75">
      <c r="A16" s="11">
        <f>'2. Notes and Assumptions'!B61</f>
        <v>37</v>
      </c>
      <c r="B16" s="10" t="s">
        <v>274</v>
      </c>
    </row>
    <row r="17" spans="1:9">
      <c r="B17" s="2" t="s">
        <v>250</v>
      </c>
      <c r="E17" s="121">
        <v>124.3198928344179</v>
      </c>
      <c r="F17" s="30">
        <f>IF(E17&gt;=1,E17-1,0)</f>
        <v>123.3198928344179</v>
      </c>
      <c r="G17" s="30">
        <f t="shared" ref="G17:I17" si="0">IF(F17&gt;=1,F17-1,0)</f>
        <v>122.3198928344179</v>
      </c>
      <c r="H17" s="30">
        <f t="shared" si="0"/>
        <v>121.3198928344179</v>
      </c>
      <c r="I17" s="30">
        <f t="shared" si="0"/>
        <v>120.3198928344179</v>
      </c>
    </row>
    <row r="18" spans="1:9">
      <c r="B18" s="6" t="s">
        <v>116</v>
      </c>
      <c r="C18" s="6"/>
      <c r="E18" s="121">
        <f>11246.416*1000</f>
        <v>11246416</v>
      </c>
      <c r="F18" s="46">
        <f ca="1">E23</f>
        <v>11434851.284677116</v>
      </c>
      <c r="G18" s="46">
        <f t="shared" ref="G18:I18" ca="1" si="1">F23</f>
        <v>11625679.323588086</v>
      </c>
      <c r="H18" s="46">
        <f t="shared" ca="1" si="1"/>
        <v>11818901.982391683</v>
      </c>
      <c r="I18" s="46">
        <f t="shared" ca="1" si="1"/>
        <v>12014519.724558217</v>
      </c>
    </row>
    <row r="19" spans="1:9">
      <c r="B19" s="6" t="s">
        <v>252</v>
      </c>
      <c r="C19" s="6"/>
      <c r="E19" s="121">
        <v>0</v>
      </c>
      <c r="F19" s="121">
        <v>0</v>
      </c>
      <c r="G19" s="121">
        <v>0</v>
      </c>
      <c r="H19" s="121">
        <v>0</v>
      </c>
      <c r="I19" s="121">
        <v>0</v>
      </c>
    </row>
    <row r="20" spans="1:9">
      <c r="B20" s="6" t="s">
        <v>253</v>
      </c>
      <c r="C20" s="6"/>
      <c r="E20" s="121">
        <v>0</v>
      </c>
      <c r="F20" s="121">
        <v>0</v>
      </c>
      <c r="G20" s="121">
        <v>0</v>
      </c>
      <c r="H20" s="121">
        <v>0</v>
      </c>
      <c r="I20" s="121">
        <v>0</v>
      </c>
    </row>
    <row r="21" spans="1:9">
      <c r="B21" s="6" t="s">
        <v>12</v>
      </c>
      <c r="C21" s="6"/>
      <c r="E21" s="46">
        <f ca="1">E6*SUM(E18:E20)</f>
        <v>281160.40000000002</v>
      </c>
      <c r="F21" s="46">
        <f ca="1">F6*F18</f>
        <v>285871.28211692791</v>
      </c>
      <c r="G21" s="46">
        <f ca="1">G6*G18</f>
        <v>290641.98308970215</v>
      </c>
      <c r="H21" s="46">
        <f ca="1">H6*H18</f>
        <v>295472.5495597921</v>
      </c>
      <c r="I21" s="46">
        <f ca="1">I6*I18</f>
        <v>300362.99311395542</v>
      </c>
    </row>
    <row r="22" spans="1:9">
      <c r="B22" s="6" t="s">
        <v>13</v>
      </c>
      <c r="C22" s="6"/>
      <c r="E22" s="46">
        <f ca="1">IF(E17&gt;1,-SUM(E18:E21)/E17,-SUM(E18:E21))</f>
        <v>-92725.115322884158</v>
      </c>
      <c r="F22" s="46">
        <f t="shared" ref="F22:I22" ca="1" si="2">IF(F17&gt;1,-SUM(F18:F21)/F17,-SUM(F18:F21))</f>
        <v>-95043.243205956256</v>
      </c>
      <c r="G22" s="46">
        <f t="shared" ca="1" si="2"/>
        <v>-97419.324286105169</v>
      </c>
      <c r="H22" s="46">
        <f t="shared" ca="1" si="2"/>
        <v>-99854.807393257797</v>
      </c>
      <c r="I22" s="46">
        <f t="shared" ca="1" si="2"/>
        <v>-102351.17757808923</v>
      </c>
    </row>
    <row r="23" spans="1:9">
      <c r="B23" s="6" t="s">
        <v>118</v>
      </c>
      <c r="C23" s="6"/>
      <c r="E23" s="30">
        <f ca="1">SUM(E18:E22)</f>
        <v>11434851.284677116</v>
      </c>
      <c r="F23" s="30">
        <f t="shared" ref="F23:I23" ca="1" si="3">SUM(F18:F22)</f>
        <v>11625679.323588086</v>
      </c>
      <c r="G23" s="30">
        <f t="shared" ca="1" si="3"/>
        <v>11818901.982391683</v>
      </c>
      <c r="H23" s="30">
        <f t="shared" ca="1" si="3"/>
        <v>12014519.724558217</v>
      </c>
      <c r="I23" s="30">
        <f t="shared" ca="1" si="3"/>
        <v>12212531.540094083</v>
      </c>
    </row>
    <row r="24" spans="1:9">
      <c r="C24" s="6"/>
      <c r="E24" s="30"/>
      <c r="F24" s="30"/>
      <c r="G24" s="30"/>
      <c r="H24" s="30"/>
      <c r="I24" s="30"/>
    </row>
    <row r="25" spans="1:9">
      <c r="B25" s="6" t="s">
        <v>255</v>
      </c>
      <c r="C25" s="6"/>
      <c r="E25" s="30">
        <f>E18+0.5*E19</f>
        <v>11246416</v>
      </c>
      <c r="F25" s="30">
        <f t="shared" ref="F25:I25" ca="1" si="4">F18</f>
        <v>11434851.284677116</v>
      </c>
      <c r="G25" s="30">
        <f t="shared" ca="1" si="4"/>
        <v>11625679.323588086</v>
      </c>
      <c r="H25" s="30">
        <f t="shared" ca="1" si="4"/>
        <v>11818901.982391683</v>
      </c>
      <c r="I25" s="30">
        <f t="shared" ca="1" si="4"/>
        <v>12014519.724558217</v>
      </c>
    </row>
    <row r="26" spans="1:9">
      <c r="C26" s="6"/>
      <c r="E26" s="30"/>
      <c r="F26" s="30"/>
      <c r="G26" s="30"/>
      <c r="H26" s="30"/>
      <c r="I26" s="30"/>
    </row>
    <row r="27" spans="1:9" ht="15.75">
      <c r="A27" s="11">
        <f>'2. Notes and Assumptions'!B62</f>
        <v>38</v>
      </c>
      <c r="B27" s="10" t="s">
        <v>273</v>
      </c>
    </row>
    <row r="28" spans="1:9">
      <c r="B28" s="2" t="s">
        <v>250</v>
      </c>
      <c r="E28" s="121">
        <f>E17</f>
        <v>124.3198928344179</v>
      </c>
      <c r="F28" s="30">
        <f>IF(E28&gt;=1,E28-1,0)</f>
        <v>123.3198928344179</v>
      </c>
      <c r="G28" s="30">
        <f t="shared" ref="G28:I28" si="5">IF(F28&gt;=1,F28-1,0)</f>
        <v>122.3198928344179</v>
      </c>
      <c r="H28" s="30">
        <f t="shared" si="5"/>
        <v>121.3198928344179</v>
      </c>
      <c r="I28" s="30">
        <f t="shared" si="5"/>
        <v>120.3198928344179</v>
      </c>
    </row>
    <row r="29" spans="1:9">
      <c r="B29" s="6" t="s">
        <v>116</v>
      </c>
      <c r="C29" s="6"/>
      <c r="E29" s="121">
        <f>10456.9935*1000</f>
        <v>10456993.5</v>
      </c>
      <c r="F29" s="46">
        <f>E34</f>
        <v>10372879.901913749</v>
      </c>
      <c r="G29" s="46">
        <f t="shared" ref="G29:I29" si="6">F34</f>
        <v>10288766.303827498</v>
      </c>
      <c r="H29" s="46">
        <f t="shared" si="6"/>
        <v>10204652.705741247</v>
      </c>
      <c r="I29" s="46">
        <f t="shared" si="6"/>
        <v>10120539.107654996</v>
      </c>
    </row>
    <row r="30" spans="1:9">
      <c r="B30" s="6" t="s">
        <v>252</v>
      </c>
      <c r="C30" s="6"/>
      <c r="E30" s="121">
        <v>0</v>
      </c>
      <c r="F30" s="121">
        <v>0</v>
      </c>
      <c r="G30" s="121">
        <v>0</v>
      </c>
      <c r="H30" s="121">
        <v>0</v>
      </c>
      <c r="I30" s="121">
        <v>0</v>
      </c>
    </row>
    <row r="31" spans="1:9">
      <c r="B31" s="6" t="s">
        <v>253</v>
      </c>
      <c r="C31" s="6"/>
      <c r="E31" s="121">
        <v>0</v>
      </c>
      <c r="F31" s="121">
        <v>0</v>
      </c>
      <c r="G31" s="121">
        <v>0</v>
      </c>
      <c r="H31" s="121">
        <v>0</v>
      </c>
      <c r="I31" s="121">
        <v>0</v>
      </c>
    </row>
    <row r="32" spans="1:9">
      <c r="B32" s="6" t="s">
        <v>254</v>
      </c>
      <c r="C32" s="6"/>
      <c r="E32" s="46"/>
      <c r="F32" s="46"/>
      <c r="G32" s="46"/>
      <c r="H32" s="46"/>
      <c r="I32" s="46"/>
    </row>
    <row r="33" spans="1:9">
      <c r="B33" s="6" t="s">
        <v>13</v>
      </c>
      <c r="C33" s="6"/>
      <c r="E33" s="46">
        <f>IF(E28&gt;1,-SUM(E29:E32)/E28,-SUM(E29:E32))</f>
        <v>-84113.598086250815</v>
      </c>
      <c r="F33" s="46">
        <f t="shared" ref="F33" si="7">IF(F28&gt;1,-SUM(F29:F32)/F28,-SUM(F29:F32))</f>
        <v>-84113.598086250815</v>
      </c>
      <c r="G33" s="46">
        <f t="shared" ref="G33:I33" si="8">IF(G28&gt;1,-SUM(G29:G32)/G28,-SUM(G29:G32))</f>
        <v>-84113.598086250815</v>
      </c>
      <c r="H33" s="46">
        <f t="shared" si="8"/>
        <v>-84113.598086250815</v>
      </c>
      <c r="I33" s="46">
        <f t="shared" si="8"/>
        <v>-84113.598086250815</v>
      </c>
    </row>
    <row r="34" spans="1:9">
      <c r="B34" s="6" t="s">
        <v>118</v>
      </c>
      <c r="C34" s="6"/>
      <c r="E34" s="30">
        <f>SUM(E29:E33)</f>
        <v>10372879.901913749</v>
      </c>
      <c r="F34" s="30">
        <f t="shared" ref="F34:I34" si="9">SUM(F29:F33)</f>
        <v>10288766.303827498</v>
      </c>
      <c r="G34" s="30">
        <f t="shared" si="9"/>
        <v>10204652.705741247</v>
      </c>
      <c r="H34" s="30">
        <f t="shared" si="9"/>
        <v>10120539.107654996</v>
      </c>
      <c r="I34" s="30">
        <f t="shared" si="9"/>
        <v>10036425.509568745</v>
      </c>
    </row>
    <row r="35" spans="1:9">
      <c r="C35" s="30"/>
      <c r="D35" s="30"/>
      <c r="E35" s="30"/>
      <c r="F35" s="30"/>
      <c r="G35" s="30"/>
      <c r="H35" s="30"/>
      <c r="I35" s="30"/>
    </row>
    <row r="36" spans="1:9" ht="15.75">
      <c r="B36" s="10" t="s">
        <v>15</v>
      </c>
    </row>
    <row r="37" spans="1:9">
      <c r="B37" s="2" t="s">
        <v>16</v>
      </c>
      <c r="C37" s="103" t="s">
        <v>106</v>
      </c>
      <c r="D37" s="30"/>
      <c r="E37" s="30">
        <f>E25</f>
        <v>11246416</v>
      </c>
      <c r="F37" s="30">
        <f t="shared" ref="F37:I37" ca="1" si="10">F25</f>
        <v>11434851.284677116</v>
      </c>
      <c r="G37" s="30">
        <f t="shared" ca="1" si="10"/>
        <v>11625679.323588086</v>
      </c>
      <c r="H37" s="30">
        <f t="shared" ca="1" si="10"/>
        <v>11818901.982391683</v>
      </c>
      <c r="I37" s="30">
        <f t="shared" ca="1" si="10"/>
        <v>12014519.724558217</v>
      </c>
    </row>
    <row r="38" spans="1:9">
      <c r="B38" s="2" t="s">
        <v>15</v>
      </c>
      <c r="C38" s="103" t="s">
        <v>106</v>
      </c>
      <c r="D38" s="30"/>
      <c r="E38" s="30">
        <f ca="1">E37*E$7</f>
        <v>809741.95199999993</v>
      </c>
      <c r="F38" s="30">
        <f t="shared" ref="F38:I38" ca="1" si="11">F37*F$7</f>
        <v>823309.29249675234</v>
      </c>
      <c r="G38" s="30">
        <f t="shared" ca="1" si="11"/>
        <v>837048.91129834217</v>
      </c>
      <c r="H38" s="30">
        <f t="shared" ca="1" si="11"/>
        <v>850960.94273220119</v>
      </c>
      <c r="I38" s="30">
        <f t="shared" ca="1" si="11"/>
        <v>865045.42016819154</v>
      </c>
    </row>
    <row r="39" spans="1:9">
      <c r="B39" s="2" t="s">
        <v>195</v>
      </c>
      <c r="C39" s="103" t="s">
        <v>106</v>
      </c>
      <c r="D39" s="30"/>
      <c r="E39" s="30">
        <f ca="1">-E21</f>
        <v>-281160.40000000002</v>
      </c>
      <c r="F39" s="30">
        <f t="shared" ref="F39:I39" ca="1" si="12">-F21</f>
        <v>-285871.28211692791</v>
      </c>
      <c r="G39" s="30">
        <f t="shared" ca="1" si="12"/>
        <v>-290641.98308970215</v>
      </c>
      <c r="H39" s="30">
        <f t="shared" ca="1" si="12"/>
        <v>-295472.5495597921</v>
      </c>
      <c r="I39" s="30">
        <f t="shared" ca="1" si="12"/>
        <v>-300362.99311395542</v>
      </c>
    </row>
    <row r="40" spans="1:9">
      <c r="B40" s="2" t="s">
        <v>28</v>
      </c>
      <c r="C40" s="103" t="s">
        <v>106</v>
      </c>
      <c r="D40" s="30"/>
      <c r="E40" s="30">
        <f ca="1">-E$11*E64</f>
        <v>78155.528952937617</v>
      </c>
      <c r="F40" s="30">
        <f ca="1">-F$11*F64</f>
        <v>79253.635574393513</v>
      </c>
      <c r="G40" s="30">
        <f ca="1">-G$11*G64</f>
        <v>80365.685971147192</v>
      </c>
      <c r="H40" s="30">
        <f ca="1">-H$11*H64</f>
        <v>81491.691015325152</v>
      </c>
      <c r="I40" s="30">
        <f ca="1">-I$11*I64</f>
        <v>82631.653407800623</v>
      </c>
    </row>
    <row r="41" spans="1:9">
      <c r="B41" s="2" t="s">
        <v>17</v>
      </c>
      <c r="C41" s="103" t="s">
        <v>106</v>
      </c>
      <c r="D41" s="30"/>
      <c r="E41" s="48">
        <f ca="1">SUM(E38:E40)</f>
        <v>606737.08095293748</v>
      </c>
      <c r="F41" s="48">
        <f ca="1">SUM(F38:F40)</f>
        <v>616691.64595421799</v>
      </c>
      <c r="G41" s="48">
        <f ca="1">SUM(G38:G40)</f>
        <v>626772.61417978723</v>
      </c>
      <c r="H41" s="48">
        <f ca="1">SUM(H38:H40)</f>
        <v>636980.08418773429</v>
      </c>
      <c r="I41" s="48">
        <f ca="1">SUM(I38:I40)</f>
        <v>647314.08046203677</v>
      </c>
    </row>
    <row r="42" spans="1:9">
      <c r="C42" s="103"/>
      <c r="D42" s="30"/>
      <c r="E42" s="30"/>
      <c r="F42" s="30"/>
      <c r="G42" s="30"/>
      <c r="H42" s="30"/>
      <c r="I42" s="30"/>
    </row>
    <row r="43" spans="1:9" ht="15.75">
      <c r="B43" s="10" t="s">
        <v>29</v>
      </c>
      <c r="C43" s="103"/>
      <c r="D43" s="49" t="s">
        <v>65</v>
      </c>
      <c r="E43" s="30"/>
      <c r="F43" s="30"/>
      <c r="G43" s="30"/>
      <c r="H43" s="30"/>
      <c r="I43" s="30"/>
    </row>
    <row r="44" spans="1:9">
      <c r="B44" s="2" t="s">
        <v>15</v>
      </c>
      <c r="C44" s="103" t="s">
        <v>106</v>
      </c>
      <c r="D44" s="30">
        <f t="shared" ref="D44:D50" ca="1" si="13">SUMPRODUCT(E$12:I$12,E44:I44)</f>
        <v>2734634.2605371261</v>
      </c>
      <c r="E44" s="30">
        <f ca="1">E41</f>
        <v>606737.08095293748</v>
      </c>
      <c r="F44" s="30">
        <f ca="1">F41</f>
        <v>616691.64595421799</v>
      </c>
      <c r="G44" s="30">
        <f ca="1">G41</f>
        <v>626772.61417978723</v>
      </c>
      <c r="H44" s="30">
        <f ca="1">H41</f>
        <v>636980.08418773429</v>
      </c>
      <c r="I44" s="30">
        <f ca="1">I41</f>
        <v>647314.08046203677</v>
      </c>
    </row>
    <row r="45" spans="1:9">
      <c r="B45" s="2" t="s">
        <v>30</v>
      </c>
      <c r="C45" s="103" t="s">
        <v>106</v>
      </c>
      <c r="D45" s="30">
        <f t="shared" ca="1" si="13"/>
        <v>0</v>
      </c>
      <c r="E45" s="30"/>
      <c r="F45" s="30"/>
      <c r="G45" s="30"/>
      <c r="H45" s="30"/>
      <c r="I45" s="30"/>
    </row>
    <row r="46" spans="1:9">
      <c r="A46" s="11">
        <f>'2. Notes and Assumptions'!B64</f>
        <v>40</v>
      </c>
      <c r="B46" s="2" t="s">
        <v>457</v>
      </c>
      <c r="C46" s="103" t="s">
        <v>106</v>
      </c>
      <c r="D46" s="30">
        <f t="shared" ca="1" si="13"/>
        <v>-2400898.68224495</v>
      </c>
      <c r="E46" s="138">
        <v>-534539.62113331317</v>
      </c>
      <c r="F46" s="138">
        <v>-542297.97289168183</v>
      </c>
      <c r="G46" s="138">
        <v>-550154.84032374364</v>
      </c>
      <c r="H46" s="138">
        <v>-558110.30024333484</v>
      </c>
      <c r="I46" s="138">
        <v>-566164.37173268641</v>
      </c>
    </row>
    <row r="47" spans="1:9">
      <c r="B47" s="2" t="s">
        <v>13</v>
      </c>
      <c r="C47" s="103" t="s">
        <v>106</v>
      </c>
      <c r="D47" s="30">
        <f t="shared" ca="1" si="13"/>
        <v>367742.4580551355</v>
      </c>
      <c r="E47" s="30">
        <f>-E33</f>
        <v>84113.598086250815</v>
      </c>
      <c r="F47" s="30">
        <f t="shared" ref="F47:I47" si="14">-F33</f>
        <v>84113.598086250815</v>
      </c>
      <c r="G47" s="30">
        <f t="shared" si="14"/>
        <v>84113.598086250815</v>
      </c>
      <c r="H47" s="30">
        <f t="shared" si="14"/>
        <v>84113.598086250815</v>
      </c>
      <c r="I47" s="30">
        <f t="shared" si="14"/>
        <v>84113.598086250815</v>
      </c>
    </row>
    <row r="48" spans="1:9">
      <c r="B48" s="2" t="s">
        <v>31</v>
      </c>
      <c r="C48" s="103" t="s">
        <v>106</v>
      </c>
      <c r="D48" s="30">
        <f t="shared" ca="1" si="13"/>
        <v>0</v>
      </c>
      <c r="E48" s="94"/>
      <c r="F48" s="94"/>
      <c r="G48" s="94"/>
      <c r="H48" s="94"/>
      <c r="I48" s="94"/>
    </row>
    <row r="49" spans="1:9">
      <c r="B49" s="2" t="s">
        <v>32</v>
      </c>
      <c r="C49" s="103" t="s">
        <v>106</v>
      </c>
      <c r="D49" s="30">
        <f t="shared" ca="1" si="13"/>
        <v>-701478.03634731181</v>
      </c>
      <c r="E49" s="30">
        <f ca="1">E64</f>
        <v>-156311.05790587523</v>
      </c>
      <c r="F49" s="30">
        <f t="shared" ref="F49:I49" ca="1" si="15">F64</f>
        <v>-158507.27114878703</v>
      </c>
      <c r="G49" s="30">
        <f t="shared" ca="1" si="15"/>
        <v>-160731.37194229438</v>
      </c>
      <c r="H49" s="30">
        <f t="shared" ca="1" si="15"/>
        <v>-162983.3820306503</v>
      </c>
      <c r="I49" s="30">
        <f t="shared" ca="1" si="15"/>
        <v>-165263.30681560125</v>
      </c>
    </row>
    <row r="50" spans="1:9">
      <c r="C50" s="30"/>
      <c r="D50" s="48">
        <f t="shared" ca="1" si="13"/>
        <v>0</v>
      </c>
      <c r="E50" s="48">
        <f ca="1">SUM(E44:E49)</f>
        <v>0</v>
      </c>
      <c r="F50" s="48">
        <f ca="1">SUM(F44:F49)</f>
        <v>0</v>
      </c>
      <c r="G50" s="48">
        <f ca="1">SUM(G44:G49)</f>
        <v>0</v>
      </c>
      <c r="H50" s="48">
        <f ca="1">SUM(H44:H49)</f>
        <v>0</v>
      </c>
      <c r="I50" s="48">
        <f ca="1">SUM(I44:I49)</f>
        <v>0</v>
      </c>
    </row>
    <row r="51" spans="1:9">
      <c r="C51" s="30"/>
      <c r="D51" s="30"/>
      <c r="E51" s="30"/>
      <c r="F51" s="30"/>
      <c r="G51" s="30"/>
      <c r="H51" s="30"/>
      <c r="I51" s="30"/>
    </row>
    <row r="52" spans="1:9" ht="15.75">
      <c r="B52" s="10" t="s">
        <v>66</v>
      </c>
      <c r="C52" s="30"/>
      <c r="D52" s="30">
        <f ca="1">SUMPRODUCT(E$12:I$12,E52:I52)</f>
        <v>0</v>
      </c>
      <c r="E52" s="121">
        <f>E14*'25. Sewer - Price Setting'!E25</f>
        <v>0</v>
      </c>
      <c r="F52" s="121">
        <f>F14*'25. Sewer - Price Setting'!F25</f>
        <v>0</v>
      </c>
      <c r="G52" s="121">
        <f>G14*'25. Sewer - Price Setting'!G25</f>
        <v>0</v>
      </c>
      <c r="H52" s="121">
        <f>H14*'25. Sewer - Price Setting'!H25</f>
        <v>0</v>
      </c>
      <c r="I52" s="121">
        <f>I14*'25. Sewer - Price Setting'!I25</f>
        <v>0</v>
      </c>
    </row>
    <row r="53" spans="1:9">
      <c r="B53" s="12" t="s">
        <v>257</v>
      </c>
      <c r="E53" s="13">
        <f ca="1">E50-E52</f>
        <v>0</v>
      </c>
      <c r="F53" s="13">
        <f t="shared" ref="F53:I53" ca="1" si="16">F50-F52</f>
        <v>0</v>
      </c>
      <c r="G53" s="13">
        <f t="shared" ca="1" si="16"/>
        <v>0</v>
      </c>
      <c r="H53" s="13">
        <f t="shared" ca="1" si="16"/>
        <v>0</v>
      </c>
      <c r="I53" s="13">
        <f t="shared" ca="1" si="16"/>
        <v>0</v>
      </c>
    </row>
    <row r="54" spans="1:9">
      <c r="C54" s="30"/>
      <c r="D54" s="30"/>
      <c r="E54" s="30"/>
      <c r="F54" s="30"/>
      <c r="G54" s="30"/>
      <c r="H54" s="30"/>
      <c r="I54" s="30"/>
    </row>
    <row r="55" spans="1:9" ht="15.75">
      <c r="B55" s="10" t="s">
        <v>34</v>
      </c>
      <c r="C55" s="30"/>
      <c r="D55" s="30"/>
      <c r="E55" s="30"/>
      <c r="F55" s="30"/>
      <c r="G55" s="30"/>
      <c r="H55" s="30"/>
      <c r="I55" s="30"/>
    </row>
    <row r="56" spans="1:9">
      <c r="B56" s="2" t="s">
        <v>35</v>
      </c>
      <c r="C56" s="30"/>
      <c r="D56" s="30"/>
      <c r="E56" s="30">
        <f>E52</f>
        <v>0</v>
      </c>
      <c r="F56" s="30">
        <f>F52</f>
        <v>0</v>
      </c>
      <c r="G56" s="30">
        <f>G52</f>
        <v>0</v>
      </c>
      <c r="H56" s="30">
        <f>H52</f>
        <v>0</v>
      </c>
      <c r="I56" s="30">
        <f>I52</f>
        <v>0</v>
      </c>
    </row>
    <row r="57" spans="1:9">
      <c r="B57" s="2" t="s">
        <v>36</v>
      </c>
      <c r="C57" s="30"/>
      <c r="D57" s="30"/>
      <c r="E57" s="30">
        <f>-E45</f>
        <v>0</v>
      </c>
      <c r="F57" s="30">
        <f>-F45</f>
        <v>0</v>
      </c>
      <c r="G57" s="30">
        <f>-G45</f>
        <v>0</v>
      </c>
      <c r="H57" s="30">
        <f>-H45</f>
        <v>0</v>
      </c>
      <c r="I57" s="30">
        <f>-I45</f>
        <v>0</v>
      </c>
    </row>
    <row r="58" spans="1:9">
      <c r="B58" s="2" t="s">
        <v>40</v>
      </c>
      <c r="C58" s="30"/>
      <c r="D58" s="30"/>
      <c r="E58" s="30">
        <f>E33</f>
        <v>-84113.598086250815</v>
      </c>
      <c r="F58" s="30">
        <f>F33</f>
        <v>-84113.598086250815</v>
      </c>
      <c r="G58" s="30">
        <f>G33</f>
        <v>-84113.598086250815</v>
      </c>
      <c r="H58" s="30">
        <f>H33</f>
        <v>-84113.598086250815</v>
      </c>
      <c r="I58" s="30">
        <f>I33</f>
        <v>-84113.598086250815</v>
      </c>
    </row>
    <row r="59" spans="1:9">
      <c r="B59" s="2" t="s">
        <v>41</v>
      </c>
      <c r="C59" s="30"/>
      <c r="D59" s="30"/>
      <c r="E59" s="30">
        <f ca="1">-E25*E10*E8</f>
        <v>-436923.26159999997</v>
      </c>
      <c r="F59" s="30">
        <f ca="1">-F25*F10*F8</f>
        <v>-444243.97240970598</v>
      </c>
      <c r="G59" s="30">
        <f ca="1">-G25*G10*G8</f>
        <v>-451657.64172139717</v>
      </c>
      <c r="H59" s="30">
        <f ca="1">-H25*H10*H8</f>
        <v>-459164.34201591689</v>
      </c>
      <c r="I59" s="30">
        <f ca="1">-I25*I10*I8</f>
        <v>-466764.09129908675</v>
      </c>
    </row>
    <row r="60" spans="1:9">
      <c r="B60" s="2" t="s">
        <v>42</v>
      </c>
      <c r="C60" s="30"/>
      <c r="D60" s="30"/>
      <c r="E60" s="30">
        <f>-E48</f>
        <v>0</v>
      </c>
      <c r="F60" s="30">
        <f>-F48</f>
        <v>0</v>
      </c>
      <c r="G60" s="30">
        <f>-G48</f>
        <v>0</v>
      </c>
      <c r="H60" s="30">
        <f>-H48</f>
        <v>0</v>
      </c>
      <c r="I60" s="30">
        <f>-I48</f>
        <v>0</v>
      </c>
    </row>
    <row r="61" spans="1:9">
      <c r="B61" s="2" t="s">
        <v>43</v>
      </c>
      <c r="C61" s="30"/>
      <c r="D61" s="30"/>
      <c r="E61" s="30"/>
      <c r="F61" s="30"/>
      <c r="G61" s="30"/>
      <c r="H61" s="30"/>
      <c r="I61" s="30"/>
    </row>
    <row r="62" spans="1:9">
      <c r="B62" s="2" t="s">
        <v>37</v>
      </c>
      <c r="C62" s="30"/>
      <c r="D62" s="30"/>
      <c r="E62" s="30">
        <f ca="1">SUM(E56:E61)</f>
        <v>-521036.8596862508</v>
      </c>
      <c r="F62" s="30">
        <f ca="1">SUM(F56:F61)</f>
        <v>-528357.57049595681</v>
      </c>
      <c r="G62" s="30">
        <f t="shared" ref="G62" ca="1" si="17">SUM(G55:G61)</f>
        <v>-535771.239807648</v>
      </c>
      <c r="H62" s="30">
        <f t="shared" ref="H62:I62" ca="1" si="18">SUM(H56:H61)</f>
        <v>-543277.94010216766</v>
      </c>
      <c r="I62" s="30">
        <f t="shared" ca="1" si="18"/>
        <v>-550877.68938533752</v>
      </c>
    </row>
    <row r="63" spans="1:9">
      <c r="C63" s="30"/>
      <c r="D63" s="30"/>
      <c r="E63" s="30"/>
      <c r="F63" s="30"/>
      <c r="G63" s="30"/>
      <c r="H63" s="30"/>
      <c r="I63" s="30"/>
    </row>
    <row r="64" spans="1:9">
      <c r="A64" s="11">
        <f>'2. Notes and Assumptions'!B52</f>
        <v>29</v>
      </c>
      <c r="B64" s="2" t="s">
        <v>32</v>
      </c>
      <c r="C64" s="30"/>
      <c r="D64" s="30"/>
      <c r="E64" s="30">
        <f ca="1">E62*E$9</f>
        <v>-156311.05790587523</v>
      </c>
      <c r="F64" s="30">
        <f t="shared" ref="F64:I64" ca="1" si="19">F62*F$9</f>
        <v>-158507.27114878703</v>
      </c>
      <c r="G64" s="30">
        <f t="shared" ca="1" si="19"/>
        <v>-160731.37194229438</v>
      </c>
      <c r="H64" s="30">
        <f t="shared" ca="1" si="19"/>
        <v>-162983.3820306503</v>
      </c>
      <c r="I64" s="30">
        <f t="shared" ca="1" si="19"/>
        <v>-165263.30681560125</v>
      </c>
    </row>
    <row r="65" spans="3:9">
      <c r="C65" s="30"/>
      <c r="D65" s="30"/>
      <c r="E65" s="30"/>
      <c r="F65" s="30"/>
      <c r="G65" s="30"/>
      <c r="H65" s="30"/>
      <c r="I65" s="30"/>
    </row>
  </sheetData>
  <pageMargins left="0" right="0" top="0" bottom="0" header="0" footer="0"/>
  <pageSetup paperSize="9" scale="85"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4277C1A1-49DE-9449-8A31-254463D01080}">
            <xm:f>'2. Notes and Assumptions'!$D$92="ERROR"</xm:f>
            <x14:dxf>
              <font>
                <color theme="0"/>
              </font>
              <fill>
                <patternFill patternType="solid">
                  <fgColor indexed="64"/>
                  <bgColor rgb="FFFF0000"/>
                </patternFill>
              </fill>
            </x14:dxf>
          </x14:cfRule>
          <x14:cfRule type="expression" priority="2" id="{9AC8C312-9758-D14C-856D-67D78CA97805}">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sheetPr codeName="Sheet17"/>
  <dimension ref="A1:R29"/>
  <sheetViews>
    <sheetView zoomScaleNormal="100" workbookViewId="0">
      <selection activeCell="A37" sqref="A37"/>
    </sheetView>
  </sheetViews>
  <sheetFormatPr defaultColWidth="10.6640625" defaultRowHeight="15"/>
  <cols>
    <col min="1" max="1" width="31.33203125" style="35" customWidth="1"/>
    <col min="2" max="2" width="45.33203125" style="2" customWidth="1"/>
    <col min="3" max="3" width="16.44140625" style="2" customWidth="1"/>
    <col min="4" max="4" width="12.88671875" style="2" customWidth="1"/>
    <col min="5" max="5" width="13.5546875" style="2" customWidth="1"/>
    <col min="6" max="6" width="12.6640625" style="2" customWidth="1"/>
    <col min="7" max="7" width="13.44140625" style="2" customWidth="1"/>
    <col min="8" max="9" width="10.6640625" style="2"/>
    <col min="10" max="10" width="14.88671875" style="2" customWidth="1"/>
    <col min="11" max="11" width="10.6640625" style="2"/>
    <col min="12" max="13" width="13" style="2" customWidth="1"/>
    <col min="14" max="14" width="17.21875" style="2" customWidth="1"/>
    <col min="15" max="15" width="19" style="2" customWidth="1"/>
    <col min="16" max="16" width="10.6640625" style="2"/>
    <col min="17" max="17" width="17.6640625" style="2" customWidth="1"/>
    <col min="18" max="18" width="19.5546875" style="2" customWidth="1"/>
    <col min="19" max="16384" width="10.6640625" style="2"/>
  </cols>
  <sheetData>
    <row r="1" spans="1:18" s="6" customFormat="1" ht="21.75" customHeight="1">
      <c r="A1" s="92" t="s">
        <v>115</v>
      </c>
      <c r="B1" s="92"/>
      <c r="C1" s="92"/>
      <c r="D1" s="92"/>
      <c r="E1" s="92"/>
      <c r="F1" s="92"/>
      <c r="G1" s="92"/>
      <c r="H1" s="92"/>
    </row>
    <row r="2" spans="1:18" ht="18" customHeight="1">
      <c r="A2" s="3" t="str">
        <f ca="1">MID(CELL("filename",A1),FIND("]",CELL("filename",A1))+1,LEN(CELL("filename",A1))-FIND("]",CELL("filename",A1)))</f>
        <v>10. Water-Existing Assets Input</v>
      </c>
      <c r="B2" s="3"/>
      <c r="C2" s="3"/>
      <c r="D2" s="3"/>
      <c r="E2" s="3"/>
      <c r="F2" s="3"/>
      <c r="G2" s="3"/>
      <c r="H2" s="3"/>
    </row>
    <row r="3" spans="1:18" ht="15.75">
      <c r="B3" s="10" t="s">
        <v>164</v>
      </c>
    </row>
    <row r="4" spans="1:18" ht="45">
      <c r="B4" s="51" t="s">
        <v>46</v>
      </c>
      <c r="C4" s="52" t="s">
        <v>50</v>
      </c>
      <c r="D4" s="52" t="s">
        <v>165</v>
      </c>
      <c r="E4" s="52" t="s">
        <v>166</v>
      </c>
      <c r="F4" s="52" t="s">
        <v>167</v>
      </c>
      <c r="H4" s="52" t="s">
        <v>59</v>
      </c>
      <c r="J4" s="52" t="s">
        <v>458</v>
      </c>
      <c r="L4" s="52" t="s">
        <v>165</v>
      </c>
      <c r="M4" s="52" t="s">
        <v>165</v>
      </c>
      <c r="N4" s="52" t="s">
        <v>165</v>
      </c>
      <c r="O4" s="52" t="s">
        <v>165</v>
      </c>
      <c r="Q4" s="104" t="s">
        <v>458</v>
      </c>
      <c r="R4" s="104" t="s">
        <v>458</v>
      </c>
    </row>
    <row r="5" spans="1:18">
      <c r="B5" s="53"/>
      <c r="C5" s="105" t="s">
        <v>106</v>
      </c>
      <c r="D5" s="105" t="s">
        <v>47</v>
      </c>
      <c r="E5" s="105" t="s">
        <v>106</v>
      </c>
      <c r="F5" s="105" t="s">
        <v>47</v>
      </c>
      <c r="G5" s="5"/>
      <c r="H5" s="105" t="s">
        <v>60</v>
      </c>
      <c r="I5" s="5"/>
      <c r="J5" s="5" t="s">
        <v>106</v>
      </c>
      <c r="L5" s="5" t="s">
        <v>208</v>
      </c>
      <c r="M5" s="5" t="s">
        <v>294</v>
      </c>
      <c r="N5" s="5" t="s">
        <v>246</v>
      </c>
      <c r="O5" s="5" t="s">
        <v>369</v>
      </c>
      <c r="Q5" s="2" t="s">
        <v>246</v>
      </c>
      <c r="R5" s="2" t="s">
        <v>369</v>
      </c>
    </row>
    <row r="6" spans="1:18">
      <c r="A6" s="35">
        <f>'2. Notes and Assumptions'!B65</f>
        <v>41</v>
      </c>
      <c r="B6" s="129" t="s">
        <v>223</v>
      </c>
      <c r="C6" s="54">
        <f>J6</f>
        <v>826314616.96719432</v>
      </c>
      <c r="D6" s="54">
        <f>HLOOKUP('2. Notes and Assumptions'!$C$16,'10. Water-Existing Assets Input'!$L$5:$O$25,ROWS('10. Water-Existing Assets Input'!$L$5:L6),FALSE)</f>
        <v>51.415177455856437</v>
      </c>
      <c r="E6" s="131">
        <f>1083.84637454133*1000000</f>
        <v>1083846374.5413301</v>
      </c>
      <c r="F6" s="132">
        <v>34.916055120459518</v>
      </c>
      <c r="H6" s="130">
        <v>1</v>
      </c>
      <c r="J6" s="54">
        <f>HLOOKUP('2. Notes and Assumptions'!$C$15,$Q$5:$R$25,ROWS($Q$5:Q6),FALSE)</f>
        <v>826314616.96719432</v>
      </c>
      <c r="L6" s="132">
        <v>50.139263504560184</v>
      </c>
      <c r="M6" s="132">
        <v>53.610395554571582</v>
      </c>
      <c r="N6" s="132">
        <v>51.415177455856437</v>
      </c>
      <c r="O6" s="132">
        <v>51.415177455856437</v>
      </c>
      <c r="Q6" s="131">
        <v>825775215.35406733</v>
      </c>
      <c r="R6" s="131">
        <v>826314616.96719432</v>
      </c>
    </row>
    <row r="7" spans="1:18">
      <c r="A7" s="35">
        <f>'2. Notes and Assumptions'!B66</f>
        <v>42</v>
      </c>
      <c r="B7" s="129" t="s">
        <v>224</v>
      </c>
      <c r="C7" s="54">
        <f>J7*(1-'3. General Model Inputs'!$D$99)</f>
        <v>379422003.20195103</v>
      </c>
      <c r="D7" s="54">
        <f>HLOOKUP('2. Notes and Assumptions'!$C$16,'10. Water-Existing Assets Input'!$L$5:$O$25,ROWS('10. Water-Existing Assets Input'!$L$5:L7),FALSE)</f>
        <v>148.91949156052223</v>
      </c>
      <c r="E7" s="131"/>
      <c r="F7" s="132"/>
      <c r="H7" s="130">
        <v>1</v>
      </c>
      <c r="J7" s="54">
        <f>HLOOKUP('2. Notes and Assumptions'!$C$15,$Q$5:$R$25,ROWS($Q$5:Q7),FALSE)</f>
        <v>379422003.20195103</v>
      </c>
      <c r="L7" s="132">
        <v>97.744430903825673</v>
      </c>
      <c r="M7" s="132">
        <v>53.610395554571582</v>
      </c>
      <c r="N7" s="131">
        <v>148.91949156052223</v>
      </c>
      <c r="O7" s="131">
        <v>148.91949156052223</v>
      </c>
      <c r="Q7" s="131">
        <v>379704263.98464358</v>
      </c>
      <c r="R7" s="131">
        <v>379422003.20195103</v>
      </c>
    </row>
    <row r="8" spans="1:18">
      <c r="A8" s="35">
        <f>'2. Notes and Assumptions'!B69</f>
        <v>45</v>
      </c>
      <c r="B8" s="129" t="s">
        <v>225</v>
      </c>
      <c r="C8" s="54">
        <f>J8*(1-'3. General Model Inputs'!$D$99)</f>
        <v>12775931.26605618</v>
      </c>
      <c r="D8" s="54">
        <f>HLOOKUP('2. Notes and Assumptions'!$C$16,'10. Water-Existing Assets Input'!$L$5:$O$25,ROWS('10. Water-Existing Assets Input'!$L$5:L8),FALSE)</f>
        <v>148.91928149526083</v>
      </c>
      <c r="E8" s="131"/>
      <c r="F8" s="132"/>
      <c r="H8" s="130">
        <v>1</v>
      </c>
      <c r="J8" s="54">
        <f>HLOOKUP('2. Notes and Assumptions'!$C$15,$Q$5:$R$25,ROWS($Q$5:Q8),FALSE)</f>
        <v>12775931.26605618</v>
      </c>
      <c r="L8" s="132">
        <v>97.744430903825673</v>
      </c>
      <c r="M8" s="132">
        <v>53.610395554571582</v>
      </c>
      <c r="N8" s="131">
        <v>148.91928149526083</v>
      </c>
      <c r="O8" s="131">
        <v>148.91928149526083</v>
      </c>
      <c r="Q8" s="131">
        <v>12785435.576107655</v>
      </c>
      <c r="R8" s="131">
        <v>12775931.26605618</v>
      </c>
    </row>
    <row r="9" spans="1:18">
      <c r="B9" s="129" t="s">
        <v>226</v>
      </c>
      <c r="C9" s="54">
        <f>J9*(1-'3. General Model Inputs'!$D$99)</f>
        <v>3436851.8407818852</v>
      </c>
      <c r="D9" s="54">
        <f>HLOOKUP('2. Notes and Assumptions'!$C$16,'10. Water-Existing Assets Input'!$L$5:$O$25,ROWS('10. Water-Existing Assets Input'!$L$5:L9),FALSE)</f>
        <v>29.695813895614819</v>
      </c>
      <c r="E9" s="131"/>
      <c r="F9" s="131"/>
      <c r="H9" s="130">
        <v>1</v>
      </c>
      <c r="J9" s="54">
        <f>HLOOKUP('2. Notes and Assumptions'!$C$15,$Q$5:$R$25,ROWS($Q$5:Q9),FALSE)</f>
        <v>3436851.8407818852</v>
      </c>
      <c r="L9" s="132">
        <v>97.744430903825673</v>
      </c>
      <c r="M9" s="132">
        <v>53.610395554571582</v>
      </c>
      <c r="N9" s="131">
        <v>29.695813895614819</v>
      </c>
      <c r="O9" s="131">
        <v>29.695813895614819</v>
      </c>
      <c r="Q9" s="131">
        <v>3439408.5941656916</v>
      </c>
      <c r="R9" s="131">
        <v>3436851.8407818852</v>
      </c>
    </row>
    <row r="10" spans="1:18">
      <c r="B10" s="129" t="s">
        <v>227</v>
      </c>
      <c r="C10" s="54">
        <f>J10*(1-'3. General Model Inputs'!$D$99)</f>
        <v>359731.65223659476</v>
      </c>
      <c r="D10" s="54">
        <f>HLOOKUP('2. Notes and Assumptions'!$C$16,'10. Water-Existing Assets Input'!$L$5:$O$25,ROWS('10. Water-Existing Assets Input'!$L$5:L10),FALSE)</f>
        <v>19.665267383366977</v>
      </c>
      <c r="E10" s="131"/>
      <c r="F10" s="131"/>
      <c r="H10" s="130">
        <v>1</v>
      </c>
      <c r="J10" s="54">
        <f>HLOOKUP('2. Notes and Assumptions'!$C$15,$Q$5:$R$25,ROWS($Q$5:Q10),FALSE)</f>
        <v>359731.65223659476</v>
      </c>
      <c r="L10" s="132">
        <v>97.744430903825673</v>
      </c>
      <c r="M10" s="132">
        <v>53.610395554571582</v>
      </c>
      <c r="N10" s="131">
        <v>19.665267383366977</v>
      </c>
      <c r="O10" s="131">
        <v>19.665267383366977</v>
      </c>
      <c r="Q10" s="131">
        <v>359999.26491288311</v>
      </c>
      <c r="R10" s="131">
        <v>359731.65223659476</v>
      </c>
    </row>
    <row r="11" spans="1:18">
      <c r="B11" s="129" t="s">
        <v>228</v>
      </c>
      <c r="C11" s="54">
        <f>J11*(1-'3. General Model Inputs'!$D$99)</f>
        <v>1591278.8303692478</v>
      </c>
      <c r="D11" s="54">
        <f>HLOOKUP('2. Notes and Assumptions'!$C$16,'10. Water-Existing Assets Input'!$L$5:$O$25,ROWS('10. Water-Existing Assets Input'!$L$5:L11),FALSE)</f>
        <v>9.6657267224711809</v>
      </c>
      <c r="E11" s="131"/>
      <c r="F11" s="131"/>
      <c r="H11" s="130">
        <v>1</v>
      </c>
      <c r="J11" s="54">
        <f>HLOOKUP('2. Notes and Assumptions'!$C$15,$Q$5:$R$25,ROWS($Q$5:Q11),FALSE)</f>
        <v>1591278.8303692478</v>
      </c>
      <c r="L11" s="132">
        <v>97.744430903825673</v>
      </c>
      <c r="M11" s="132">
        <v>53.610395554571582</v>
      </c>
      <c r="N11" s="131">
        <v>9.6657267224711809</v>
      </c>
      <c r="O11" s="131">
        <v>9.6657267224711809</v>
      </c>
      <c r="Q11" s="131">
        <v>1592462.6194071835</v>
      </c>
      <c r="R11" s="131">
        <v>1591278.8303692478</v>
      </c>
    </row>
    <row r="12" spans="1:18">
      <c r="B12" s="129" t="s">
        <v>229</v>
      </c>
      <c r="C12" s="54">
        <f>J12*(1-'3. General Model Inputs'!$D$99)</f>
        <v>9520176.9175149389</v>
      </c>
      <c r="D12" s="54">
        <f>HLOOKUP('2. Notes and Assumptions'!$C$16,'10. Water-Existing Assets Input'!$L$5:$O$25,ROWS('10. Water-Existing Assets Input'!$L$5:L12),FALSE)</f>
        <v>148.91996630650479</v>
      </c>
      <c r="E12" s="131"/>
      <c r="F12" s="131"/>
      <c r="H12" s="130">
        <v>1</v>
      </c>
      <c r="J12" s="54">
        <f>HLOOKUP('2. Notes and Assumptions'!$C$15,$Q$5:$R$25,ROWS($Q$5:Q12),FALSE)</f>
        <v>9520176.9175149389</v>
      </c>
      <c r="L12" s="132">
        <v>97.744430903825673</v>
      </c>
      <c r="M12" s="132">
        <v>53.610395554571582</v>
      </c>
      <c r="N12" s="131">
        <v>148.91996630650479</v>
      </c>
      <c r="O12" s="131">
        <v>148.91996630650479</v>
      </c>
      <c r="Q12" s="131">
        <v>9527259.1967855971</v>
      </c>
      <c r="R12" s="131">
        <v>9520176.9175149389</v>
      </c>
    </row>
    <row r="13" spans="1:18">
      <c r="B13" s="129" t="s">
        <v>230</v>
      </c>
      <c r="C13" s="54">
        <f>J13*(1-'3. General Model Inputs'!$D$99)</f>
        <v>350743.37019958318</v>
      </c>
      <c r="D13" s="54">
        <f>HLOOKUP('2. Notes and Assumptions'!$C$16,'10. Water-Existing Assets Input'!$L$5:$O$25,ROWS('10. Water-Existing Assets Input'!$L$5:L13),FALSE)</f>
        <v>148.90566483506132</v>
      </c>
      <c r="E13" s="131"/>
      <c r="F13" s="131"/>
      <c r="H13" s="130">
        <v>1</v>
      </c>
      <c r="J13" s="54">
        <f>HLOOKUP('2. Notes and Assumptions'!$C$15,$Q$5:$R$25,ROWS($Q$5:Q13),FALSE)</f>
        <v>350743.37019958318</v>
      </c>
      <c r="L13" s="132">
        <v>97.744430903825673</v>
      </c>
      <c r="M13" s="132">
        <v>53.610395554571582</v>
      </c>
      <c r="N13" s="131">
        <v>148.90566483506132</v>
      </c>
      <c r="O13" s="131">
        <v>148.90566483506132</v>
      </c>
      <c r="Q13" s="131">
        <v>351004.29628547502</v>
      </c>
      <c r="R13" s="131">
        <v>350743.37019958318</v>
      </c>
    </row>
    <row r="14" spans="1:18">
      <c r="B14" s="129" t="s">
        <v>231</v>
      </c>
      <c r="C14" s="54">
        <f>J14*(1-'3. General Model Inputs'!$D$99)</f>
        <v>94353.444992564822</v>
      </c>
      <c r="D14" s="54">
        <f>HLOOKUP('2. Notes and Assumptions'!$C$16,'10. Water-Existing Assets Input'!$L$5:$O$25,ROWS('10. Water-Existing Assets Input'!$L$5:L14),FALSE)</f>
        <v>29.69485116748346</v>
      </c>
      <c r="E14" s="131"/>
      <c r="F14" s="131"/>
      <c r="H14" s="130">
        <v>1</v>
      </c>
      <c r="J14" s="54">
        <f>HLOOKUP('2. Notes and Assumptions'!$C$15,$Q$5:$R$25,ROWS($Q$5:Q14),FALSE)</f>
        <v>94353.444992564822</v>
      </c>
      <c r="L14" s="132">
        <v>97.744430903825673</v>
      </c>
      <c r="M14" s="132">
        <v>53.610395554571582</v>
      </c>
      <c r="N14" s="131">
        <v>29.69485116748346</v>
      </c>
      <c r="O14" s="131">
        <v>29.69485116748346</v>
      </c>
      <c r="Q14" s="131">
        <v>94423.636697338356</v>
      </c>
      <c r="R14" s="131">
        <v>94353.444992564822</v>
      </c>
    </row>
    <row r="15" spans="1:18">
      <c r="B15" s="129" t="s">
        <v>232</v>
      </c>
      <c r="C15" s="54">
        <f>J15*(1-'3. General Model Inputs'!$D$99)</f>
        <v>9875.8825955219618</v>
      </c>
      <c r="D15" s="54">
        <f>HLOOKUP('2. Notes and Assumptions'!$C$16,'10. Water-Existing Assets Input'!$L$5:$O$25,ROWS('10. Water-Existing Assets Input'!$L$5:L15),FALSE)</f>
        <v>19.660412624081175</v>
      </c>
      <c r="E15" s="131"/>
      <c r="F15" s="131"/>
      <c r="H15" s="130">
        <v>1</v>
      </c>
      <c r="J15" s="54">
        <f>HLOOKUP('2. Notes and Assumptions'!$C$15,$Q$5:$R$25,ROWS($Q$5:Q15),FALSE)</f>
        <v>9875.8825955219618</v>
      </c>
      <c r="L15" s="132">
        <v>97.744430903825673</v>
      </c>
      <c r="M15" s="132">
        <v>53.610395554571582</v>
      </c>
      <c r="N15" s="131">
        <v>19.660412624081175</v>
      </c>
      <c r="O15" s="131">
        <v>19.660412624081175</v>
      </c>
      <c r="Q15" s="131">
        <v>9883.2294924537855</v>
      </c>
      <c r="R15" s="131">
        <v>9875.8825955219618</v>
      </c>
    </row>
    <row r="16" spans="1:18">
      <c r="B16" s="129" t="s">
        <v>233</v>
      </c>
      <c r="C16" s="54">
        <f>J16*(1-'3. General Model Inputs'!$D$99)</f>
        <v>43686.099637497849</v>
      </c>
      <c r="D16" s="54">
        <f>HLOOKUP('2. Notes and Assumptions'!$C$16,'10. Water-Existing Assets Input'!$L$5:$O$25,ROWS('10. Water-Existing Assets Input'!$L$5:L16),FALSE)</f>
        <v>9.6655200154095411</v>
      </c>
      <c r="E16" s="131"/>
      <c r="F16" s="131"/>
      <c r="H16" s="130">
        <v>1</v>
      </c>
      <c r="J16" s="54">
        <f>HLOOKUP('2. Notes and Assumptions'!$C$15,$Q$5:$R$25,ROWS($Q$5:Q16),FALSE)</f>
        <v>43686.099637497849</v>
      </c>
      <c r="L16" s="132">
        <v>97.744430903825673</v>
      </c>
      <c r="M16" s="132">
        <v>53.610395554571582</v>
      </c>
      <c r="N16" s="131">
        <v>9.6655200154095411</v>
      </c>
      <c r="O16" s="131">
        <v>9.6655200154095411</v>
      </c>
      <c r="Q16" s="131">
        <v>43718.598734999847</v>
      </c>
      <c r="R16" s="131">
        <v>43686.099637497849</v>
      </c>
    </row>
    <row r="17" spans="2:18">
      <c r="B17" s="129" t="s">
        <v>234</v>
      </c>
      <c r="C17" s="54">
        <f>J17*(1-'3. General Model Inputs'!$D$99)</f>
        <v>535376.81107026467</v>
      </c>
      <c r="D17" s="54">
        <f>HLOOKUP('2. Notes and Assumptions'!$C$16,'10. Water-Existing Assets Input'!$L$5:$O$25,ROWS('10. Water-Existing Assets Input'!$L$5:L17),FALSE)</f>
        <v>19.169981322684318</v>
      </c>
      <c r="E17" s="131"/>
      <c r="F17" s="131"/>
      <c r="H17" s="130">
        <v>1</v>
      </c>
      <c r="J17" s="54">
        <f>HLOOKUP('2. Notes and Assumptions'!$C$15,$Q$5:$R$25,ROWS($Q$5:Q17),FALSE)</f>
        <v>535376.81107026467</v>
      </c>
      <c r="L17" s="132">
        <v>50.139263504560184</v>
      </c>
      <c r="M17" s="132">
        <v>53.610395554571582</v>
      </c>
      <c r="N17" s="131">
        <v>19.169981322684318</v>
      </c>
      <c r="O17" s="131">
        <v>19.169981322684318</v>
      </c>
      <c r="Q17" s="131">
        <v>536307.34074078791</v>
      </c>
      <c r="R17" s="131">
        <v>535376.81107026467</v>
      </c>
    </row>
    <row r="18" spans="2:18">
      <c r="B18" s="129" t="s">
        <v>235</v>
      </c>
      <c r="C18" s="54">
        <f>J18*(1-'3. General Model Inputs'!$D$99)</f>
        <v>2715599.0658783517</v>
      </c>
      <c r="D18" s="54">
        <f>HLOOKUP('2. Notes and Assumptions'!$C$16,'10. Water-Existing Assets Input'!$L$5:$O$25,ROWS('10. Water-Existing Assets Input'!$L$5:L18),FALSE)</f>
        <v>29.199880035819557</v>
      </c>
      <c r="E18" s="131"/>
      <c r="F18" s="131"/>
      <c r="H18" s="130">
        <v>1</v>
      </c>
      <c r="J18" s="54">
        <f>HLOOKUP('2. Notes and Assumptions'!$C$15,$Q$5:$R$25,ROWS($Q$5:Q18),FALSE)</f>
        <v>2715599.0658783517</v>
      </c>
      <c r="L18" s="132">
        <v>50.139263504560184</v>
      </c>
      <c r="M18" s="132">
        <v>53.610395554571582</v>
      </c>
      <c r="N18" s="131">
        <v>29.199880035819557</v>
      </c>
      <c r="O18" s="131">
        <v>29.199880035819557</v>
      </c>
      <c r="Q18" s="131">
        <v>2720319.0041569509</v>
      </c>
      <c r="R18" s="131">
        <v>2715599.0658783517</v>
      </c>
    </row>
    <row r="19" spans="2:18">
      <c r="B19" s="129" t="s">
        <v>236</v>
      </c>
      <c r="C19" s="54">
        <f>J19*(1-'3. General Model Inputs'!$D$99)</f>
        <v>2443090.041677299</v>
      </c>
      <c r="D19" s="54">
        <f>HLOOKUP('2. Notes and Assumptions'!$C$16,'10. Water-Existing Assets Input'!$L$5:$O$25,ROWS('10. Water-Existing Assets Input'!$L$5:L19),FALSE)</f>
        <v>29.19992834551536</v>
      </c>
      <c r="E19" s="131"/>
      <c r="F19" s="131"/>
      <c r="H19" s="130">
        <v>1</v>
      </c>
      <c r="J19" s="54">
        <f>HLOOKUP('2. Notes and Assumptions'!$C$15,$Q$5:$R$25,ROWS($Q$5:Q19),FALSE)</f>
        <v>2443090.041677299</v>
      </c>
      <c r="L19" s="132">
        <v>50.139263504560184</v>
      </c>
      <c r="M19" s="132">
        <v>53.610395554571582</v>
      </c>
      <c r="N19" s="131">
        <v>29.19992834551536</v>
      </c>
      <c r="O19" s="131">
        <v>29.19992834551536</v>
      </c>
      <c r="Q19" s="131">
        <v>2447336.3364822529</v>
      </c>
      <c r="R19" s="131">
        <v>2443090.041677299</v>
      </c>
    </row>
    <row r="20" spans="2:18">
      <c r="B20" s="129" t="s">
        <v>237</v>
      </c>
      <c r="C20" s="54">
        <f>J20*(1-'3. General Model Inputs'!$D$99)</f>
        <v>535376.33558476728</v>
      </c>
      <c r="D20" s="54">
        <f>HLOOKUP('2. Notes and Assumptions'!$C$16,'10. Water-Existing Assets Input'!$L$5:$O$25,ROWS('10. Water-Existing Assets Input'!$L$5:L20),FALSE)</f>
        <v>19.169626351600186</v>
      </c>
      <c r="E20" s="131"/>
      <c r="F20" s="131"/>
      <c r="H20" s="130">
        <v>1</v>
      </c>
      <c r="J20" s="54">
        <f>HLOOKUP('2. Notes and Assumptions'!$C$15,$Q$5:$R$25,ROWS($Q$5:Q20),FALSE)</f>
        <v>535376.33558476728</v>
      </c>
      <c r="L20" s="132">
        <v>50.139263504560184</v>
      </c>
      <c r="M20" s="132">
        <v>53.610395554571582</v>
      </c>
      <c r="N20" s="131">
        <v>19.169626351600186</v>
      </c>
      <c r="O20" s="131">
        <v>19.169626351600186</v>
      </c>
      <c r="Q20" s="131">
        <v>536306.86442885688</v>
      </c>
      <c r="R20" s="131">
        <v>535376.33558476728</v>
      </c>
    </row>
    <row r="21" spans="2:18">
      <c r="B21" s="129" t="s">
        <v>238</v>
      </c>
      <c r="C21" s="54">
        <f>J21*(1-'3. General Model Inputs'!$D$99)</f>
        <v>802752.95920916577</v>
      </c>
      <c r="D21" s="54">
        <f>HLOOKUP('2. Notes and Assumptions'!$C$16,'10. Water-Existing Assets Input'!$L$5:$O$25,ROWS('10. Water-Existing Assets Input'!$L$5:L21),FALSE)</f>
        <v>19.169849661909012</v>
      </c>
      <c r="E21" s="131"/>
      <c r="F21" s="131"/>
      <c r="H21" s="130">
        <v>1</v>
      </c>
      <c r="J21" s="54">
        <f>HLOOKUP('2. Notes and Assumptions'!$C$15,$Q$5:$R$25,ROWS($Q$5:Q21),FALSE)</f>
        <v>802752.95920916577</v>
      </c>
      <c r="L21" s="132">
        <v>50.139263504560184</v>
      </c>
      <c r="M21" s="132">
        <v>53.610395554571582</v>
      </c>
      <c r="N21" s="131">
        <v>19.169849661909012</v>
      </c>
      <c r="O21" s="131">
        <v>19.169849661909012</v>
      </c>
      <c r="Q21" s="131">
        <v>804148.2109854822</v>
      </c>
      <c r="R21" s="131">
        <v>802752.95920916577</v>
      </c>
    </row>
    <row r="22" spans="2:18">
      <c r="B22" s="129" t="s">
        <v>239</v>
      </c>
      <c r="C22" s="54">
        <f>J22*(1-'3. General Model Inputs'!$D$99)</f>
        <v>51514894.336231887</v>
      </c>
      <c r="D22" s="54">
        <f>HLOOKUP('2. Notes and Assumptions'!$C$16,'10. Water-Existing Assets Input'!$L$5:$O$25,ROWS('10. Water-Existing Assets Input'!$L$5:L22),FALSE)</f>
        <v>99.169859341937283</v>
      </c>
      <c r="E22" s="131"/>
      <c r="F22" s="131"/>
      <c r="H22" s="130">
        <v>1</v>
      </c>
      <c r="J22" s="54">
        <f>HLOOKUP('2. Notes and Assumptions'!$C$15,$Q$5:$R$25,ROWS($Q$5:Q22),FALSE)</f>
        <v>51514894.336231887</v>
      </c>
      <c r="L22" s="132">
        <v>50.139263504560184</v>
      </c>
      <c r="M22" s="132">
        <v>53.610395554571582</v>
      </c>
      <c r="N22" s="131">
        <v>99.169859341937283</v>
      </c>
      <c r="O22" s="131">
        <v>99.169859341937283</v>
      </c>
      <c r="Q22" s="131">
        <v>51604431.530713484</v>
      </c>
      <c r="R22" s="131">
        <v>51514894.336231887</v>
      </c>
    </row>
    <row r="23" spans="2:18">
      <c r="B23" s="129" t="s">
        <v>240</v>
      </c>
      <c r="C23" s="54">
        <f>J23*(1-'3. General Model Inputs'!$D$99)</f>
        <v>9136189.8994134776</v>
      </c>
      <c r="D23" s="54">
        <f>HLOOKUP('2. Notes and Assumptions'!$C$16,'10. Water-Existing Assets Input'!$L$5:$O$25,ROWS('10. Water-Existing Assets Input'!$L$5:L23),FALSE)</f>
        <v>99.169990898498426</v>
      </c>
      <c r="E23" s="131"/>
      <c r="F23" s="131"/>
      <c r="H23" s="130">
        <v>1</v>
      </c>
      <c r="J23" s="54">
        <f>HLOOKUP('2. Notes and Assumptions'!$C$15,$Q$5:$R$25,ROWS($Q$5:Q23),FALSE)</f>
        <v>9136189.8994134776</v>
      </c>
      <c r="L23" s="132">
        <v>50.139263504560184</v>
      </c>
      <c r="M23" s="132">
        <v>53.610395554571582</v>
      </c>
      <c r="N23" s="131">
        <v>99.169990898498426</v>
      </c>
      <c r="O23" s="131">
        <v>99.169990898498426</v>
      </c>
      <c r="Q23" s="131">
        <v>9152069.3615066204</v>
      </c>
      <c r="R23" s="131">
        <v>9136189.8994134776</v>
      </c>
    </row>
    <row r="24" spans="2:18">
      <c r="B24" s="129" t="s">
        <v>241</v>
      </c>
      <c r="C24" s="54">
        <f>J24*(1-'3. General Model Inputs'!$D$99)</f>
        <v>11519848.998642391</v>
      </c>
      <c r="D24" s="54">
        <f>HLOOKUP('2. Notes and Assumptions'!$C$16,'10. Water-Existing Assets Input'!$L$5:$O$25,ROWS('10. Water-Existing Assets Input'!$L$5:L24),FALSE)</f>
        <v>9.1698618237399003</v>
      </c>
      <c r="E24" s="131"/>
      <c r="F24" s="131"/>
      <c r="H24" s="130">
        <v>1</v>
      </c>
      <c r="J24" s="54">
        <f>HLOOKUP('2. Notes and Assumptions'!$C$15,$Q$5:$R$25,ROWS($Q$5:Q24),FALSE)</f>
        <v>11519848.998642391</v>
      </c>
      <c r="L24" s="132">
        <v>50.139263504560184</v>
      </c>
      <c r="M24" s="132">
        <v>53.610395554571582</v>
      </c>
      <c r="N24" s="131">
        <v>9.1698618237399003</v>
      </c>
      <c r="O24" s="131">
        <v>9.1698618237399003</v>
      </c>
      <c r="Q24" s="131">
        <v>11539871.45959238</v>
      </c>
      <c r="R24" s="131">
        <v>11519848.998642391</v>
      </c>
    </row>
    <row r="25" spans="2:18">
      <c r="B25" s="129" t="s">
        <v>242</v>
      </c>
      <c r="C25" s="54">
        <f>J25*(1-'3. General Model Inputs'!$D$99)</f>
        <v>56679356.333446033</v>
      </c>
      <c r="D25" s="54">
        <f>HLOOKUP('2. Notes and Assumptions'!$C$16,'10. Water-Existing Assets Input'!$L$5:$O$25,ROWS('10. Water-Existing Assets Input'!$L$5:L25),FALSE)</f>
        <v>24.169863554109693</v>
      </c>
      <c r="E25" s="131"/>
      <c r="F25" s="131"/>
      <c r="H25" s="130">
        <v>1</v>
      </c>
      <c r="J25" s="54">
        <f>HLOOKUP('2. Notes and Assumptions'!$C$15,$Q$5:$R$25,ROWS($Q$5:Q25),FALSE)</f>
        <v>56679356.333446033</v>
      </c>
      <c r="L25" s="132">
        <v>50.139263504560184</v>
      </c>
      <c r="M25" s="132">
        <v>53.610395554571582</v>
      </c>
      <c r="N25" s="131">
        <v>24.169863554109693</v>
      </c>
      <c r="O25" s="131">
        <v>24.169863554109693</v>
      </c>
      <c r="Q25" s="131">
        <v>56777869.794776186</v>
      </c>
      <c r="R25" s="131">
        <v>56679356.333446033</v>
      </c>
    </row>
    <row r="26" spans="2:18">
      <c r="B26" s="2" t="s">
        <v>49</v>
      </c>
      <c r="C26" s="191">
        <f>SUM(C6:C25)</f>
        <v>1369801734.2546837</v>
      </c>
      <c r="J26" s="191">
        <f>SUM(J6:J25)</f>
        <v>1369801734.2546837</v>
      </c>
    </row>
    <row r="27" spans="2:18">
      <c r="K27" s="12" t="s">
        <v>346</v>
      </c>
      <c r="L27" s="55">
        <f>SUMPRODUCT($C$6:$C$25,L6:L25)/SUM($C$6:$C$25)</f>
        <v>64.30488052630966</v>
      </c>
      <c r="M27" s="55">
        <f>SUMPRODUCT($C$6:$C$25,M6:M25)/SUM($C$6:$C$25)</f>
        <v>53.610395554571554</v>
      </c>
      <c r="N27" s="55">
        <f>SUMPRODUCT($C$6:$C$25,N6:N25)/SUM($C$6:$C$25)</f>
        <v>80.424638231513512</v>
      </c>
      <c r="O27" s="55">
        <f>SUMPRODUCT($C$6:$C$25,O6:O25)/SUM($C$6:$C$25)</f>
        <v>80.424638231513512</v>
      </c>
    </row>
    <row r="28" spans="2:18">
      <c r="K28" s="12"/>
      <c r="L28" s="55"/>
      <c r="M28" s="12"/>
      <c r="N28" s="12"/>
      <c r="O28" s="12"/>
    </row>
    <row r="29" spans="2:18">
      <c r="K29" s="12" t="s">
        <v>347</v>
      </c>
      <c r="L29" s="55">
        <f>$C$26/L27</f>
        <v>21301676.063207112</v>
      </c>
      <c r="M29" s="55">
        <f t="shared" ref="M29" si="0">$C$26/M27</f>
        <v>25551046.958053563</v>
      </c>
      <c r="N29" s="55">
        <f t="shared" ref="N29:O29" si="1">$C$26/N27</f>
        <v>17032115.585170787</v>
      </c>
      <c r="O29" s="55">
        <f t="shared" si="1"/>
        <v>17032115.585170787</v>
      </c>
    </row>
  </sheetData>
  <pageMargins left="0" right="0" top="0" bottom="0" header="0" footer="0"/>
  <pageSetup paperSize="9" scale="90"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2A4D9D31-66E7-3D49-A170-09360697139E}">
            <xm:f>'2. Notes and Assumptions'!$D$92="ERROR"</xm:f>
            <x14:dxf>
              <font>
                <color theme="0"/>
              </font>
              <fill>
                <patternFill patternType="solid">
                  <fgColor indexed="64"/>
                  <bgColor rgb="FFFF0000"/>
                </patternFill>
              </fill>
            </x14:dxf>
          </x14:cfRule>
          <x14:cfRule type="expression" priority="2" id="{01683215-BABE-C04B-B693-B0D794D66BAD}">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sheetPr codeName="Sheet25"/>
  <dimension ref="A1:W187"/>
  <sheetViews>
    <sheetView zoomScaleNormal="100" workbookViewId="0">
      <pane ySplit="4" topLeftCell="A5" activePane="bottomLeft" state="frozen"/>
      <selection pane="bottomLeft" activeCell="P10" sqref="P10"/>
    </sheetView>
  </sheetViews>
  <sheetFormatPr defaultColWidth="10.6640625" defaultRowHeight="15"/>
  <cols>
    <col min="1" max="1" width="30.77734375" style="35" customWidth="1"/>
    <col min="2" max="2" width="20.6640625" style="2" customWidth="1"/>
    <col min="3" max="3" width="34.6640625" style="2" customWidth="1"/>
    <col min="4" max="4" width="10.21875" style="56" customWidth="1"/>
    <col min="5" max="5" width="16.33203125" style="56" customWidth="1"/>
    <col min="6" max="6" width="24" style="2" customWidth="1"/>
    <col min="7" max="7" width="10.21875" style="2" customWidth="1"/>
    <col min="8" max="8" width="9.44140625" style="2" customWidth="1"/>
    <col min="9" max="9" width="10.88671875" style="2" customWidth="1"/>
    <col min="10" max="10" width="13.77734375" style="2" customWidth="1"/>
    <col min="11" max="12" width="10.6640625" style="2"/>
    <col min="13" max="13" width="13.44140625" style="2" customWidth="1"/>
    <col min="14" max="14" width="17" style="2" customWidth="1"/>
    <col min="15" max="15" width="17.21875" style="2" customWidth="1"/>
    <col min="16" max="16" width="10.6640625" style="2"/>
    <col min="17" max="18" width="24.44140625" style="2" customWidth="1"/>
    <col min="19" max="19" width="10.6640625" style="2"/>
    <col min="20" max="23" width="10.6640625" style="6"/>
    <col min="24" max="16384" width="10.6640625" style="2"/>
  </cols>
  <sheetData>
    <row r="1" spans="1:23" s="6" customFormat="1" ht="21" customHeight="1">
      <c r="A1" s="92" t="s">
        <v>115</v>
      </c>
      <c r="B1" s="92"/>
      <c r="C1" s="92"/>
      <c r="D1" s="92"/>
      <c r="E1" s="92"/>
      <c r="F1" s="92"/>
      <c r="G1" s="92"/>
      <c r="H1" s="92"/>
      <c r="I1" s="92"/>
      <c r="J1" s="92"/>
    </row>
    <row r="2" spans="1:23" ht="18" customHeight="1">
      <c r="A2" s="3" t="str">
        <f ca="1">MID(CELL("filename",A1),FIND("]",CELL("filename",A1))+1,LEN(CELL("filename",A1))-FIND("]",CELL("filename",A1)))</f>
        <v>11. Water - Capex Input</v>
      </c>
      <c r="B2" s="3"/>
      <c r="C2" s="3"/>
      <c r="D2" s="3"/>
      <c r="E2" s="3"/>
      <c r="F2" s="3"/>
      <c r="G2" s="3"/>
      <c r="H2" s="3"/>
      <c r="I2" s="3"/>
      <c r="J2" s="3"/>
    </row>
    <row r="3" spans="1:23" ht="15.75">
      <c r="L3" s="57" t="s">
        <v>128</v>
      </c>
      <c r="M3" s="57" t="s">
        <v>128</v>
      </c>
      <c r="N3" s="57" t="s">
        <v>128</v>
      </c>
      <c r="O3" s="57" t="s">
        <v>128</v>
      </c>
      <c r="T3" s="196" t="s">
        <v>354</v>
      </c>
      <c r="U3" s="196"/>
      <c r="V3" s="196" t="s">
        <v>355</v>
      </c>
      <c r="W3" s="196"/>
    </row>
    <row r="4" spans="1:23" ht="15.75" customHeight="1">
      <c r="B4" s="58" t="s">
        <v>123</v>
      </c>
      <c r="C4" s="58" t="s">
        <v>124</v>
      </c>
      <c r="D4" s="59" t="s">
        <v>125</v>
      </c>
      <c r="E4" s="59" t="s">
        <v>126</v>
      </c>
      <c r="F4" s="58" t="s">
        <v>127</v>
      </c>
      <c r="G4" s="57" t="s">
        <v>128</v>
      </c>
      <c r="H4" s="57" t="s">
        <v>129</v>
      </c>
      <c r="I4" s="57" t="s">
        <v>130</v>
      </c>
      <c r="J4" s="57" t="s">
        <v>131</v>
      </c>
      <c r="L4" s="2" t="s">
        <v>208</v>
      </c>
      <c r="M4" s="2" t="s">
        <v>294</v>
      </c>
      <c r="N4" s="2" t="s">
        <v>246</v>
      </c>
      <c r="O4" s="2" t="s">
        <v>369</v>
      </c>
      <c r="T4" s="60" t="s">
        <v>356</v>
      </c>
      <c r="U4" s="60" t="s">
        <v>357</v>
      </c>
      <c r="V4" s="60" t="s">
        <v>356</v>
      </c>
      <c r="W4" s="60" t="s">
        <v>357</v>
      </c>
    </row>
    <row r="5" spans="1:23">
      <c r="A5" s="35">
        <f>'2. Notes and Assumptions'!B32</f>
        <v>10</v>
      </c>
      <c r="B5" s="133">
        <v>1</v>
      </c>
      <c r="C5" s="133">
        <v>1</v>
      </c>
      <c r="D5" s="134" t="s">
        <v>132</v>
      </c>
      <c r="E5" s="96"/>
      <c r="F5" s="97"/>
      <c r="G5" s="61">
        <f>HLOOKUP('2. Notes and Assumptions'!$C$16,$L$4:$O$187,ROWS($L$4:L5),FALSE)</f>
        <v>60</v>
      </c>
      <c r="H5" s="61">
        <f>G5</f>
        <v>60</v>
      </c>
      <c r="I5" s="129">
        <v>1</v>
      </c>
      <c r="J5" s="127">
        <v>165541.26499999998</v>
      </c>
      <c r="L5" s="127">
        <v>66</v>
      </c>
      <c r="M5" s="127">
        <v>34.086098305848942</v>
      </c>
      <c r="N5" s="127">
        <v>60</v>
      </c>
      <c r="O5" s="127">
        <v>60</v>
      </c>
      <c r="T5" s="62">
        <f>IF($I5=4,J5,0)</f>
        <v>0</v>
      </c>
      <c r="U5" s="62">
        <f>IF($I5=4,M5,0)</f>
        <v>0</v>
      </c>
      <c r="V5" s="62">
        <f>IF($I5=5,J5,0)</f>
        <v>0</v>
      </c>
      <c r="W5" s="62">
        <f>IF($I5=5,M5,0)</f>
        <v>0</v>
      </c>
    </row>
    <row r="6" spans="1:23">
      <c r="B6" s="133">
        <v>3</v>
      </c>
      <c r="C6" s="133">
        <v>1</v>
      </c>
      <c r="D6" s="134" t="s">
        <v>132</v>
      </c>
      <c r="E6" s="96"/>
      <c r="F6" s="97"/>
      <c r="G6" s="61">
        <f>HLOOKUP('2. Notes and Assumptions'!$C$16,$L$4:$O$187,ROWS($L$4:L6),FALSE)</f>
        <v>60</v>
      </c>
      <c r="H6" s="61">
        <f t="shared" ref="H6:H69" si="0">G6</f>
        <v>60</v>
      </c>
      <c r="I6" s="129">
        <v>2</v>
      </c>
      <c r="J6" s="127">
        <v>508985.67499999999</v>
      </c>
      <c r="L6" s="127">
        <v>66</v>
      </c>
      <c r="M6" s="127">
        <v>34.086098305848942</v>
      </c>
      <c r="N6" s="127">
        <v>60</v>
      </c>
      <c r="O6" s="127">
        <v>60</v>
      </c>
      <c r="T6" s="62">
        <f t="shared" ref="T6:T69" si="1">IF($I6=4,J6,0)</f>
        <v>0</v>
      </c>
      <c r="U6" s="62">
        <f t="shared" ref="U6:U69" si="2">IF($I6=4,M6,0)</f>
        <v>0</v>
      </c>
      <c r="V6" s="62">
        <f t="shared" ref="V6:V69" si="3">IF($I6=5,J6,0)</f>
        <v>0</v>
      </c>
      <c r="W6" s="62">
        <f t="shared" ref="W6:W69" si="4">IF($I6=5,M6,0)</f>
        <v>0</v>
      </c>
    </row>
    <row r="7" spans="1:23">
      <c r="B7" s="133">
        <v>5</v>
      </c>
      <c r="C7" s="133">
        <v>1</v>
      </c>
      <c r="D7" s="134" t="s">
        <v>132</v>
      </c>
      <c r="E7" s="96"/>
      <c r="F7" s="97"/>
      <c r="G7" s="61">
        <f>HLOOKUP('2. Notes and Assumptions'!$C$16,$L$4:$O$187,ROWS($L$4:L7),FALSE)</f>
        <v>60</v>
      </c>
      <c r="H7" s="61">
        <f t="shared" si="0"/>
        <v>60</v>
      </c>
      <c r="I7" s="129">
        <v>3</v>
      </c>
      <c r="J7" s="127">
        <v>105433.5</v>
      </c>
      <c r="L7" s="127">
        <v>66</v>
      </c>
      <c r="M7" s="127">
        <v>34.086098305848942</v>
      </c>
      <c r="N7" s="127">
        <v>60</v>
      </c>
      <c r="O7" s="127">
        <v>60</v>
      </c>
      <c r="T7" s="62">
        <f t="shared" si="1"/>
        <v>0</v>
      </c>
      <c r="U7" s="62">
        <f t="shared" si="2"/>
        <v>0</v>
      </c>
      <c r="V7" s="62">
        <f t="shared" si="3"/>
        <v>0</v>
      </c>
      <c r="W7" s="62">
        <f t="shared" si="4"/>
        <v>0</v>
      </c>
    </row>
    <row r="8" spans="1:23">
      <c r="B8" s="133">
        <v>11</v>
      </c>
      <c r="C8" s="133">
        <v>2</v>
      </c>
      <c r="D8" s="134" t="s">
        <v>132</v>
      </c>
      <c r="E8" s="96"/>
      <c r="F8" s="97"/>
      <c r="G8" s="61">
        <f>HLOOKUP('2. Notes and Assumptions'!$C$16,$L$4:$O$187,ROWS($L$4:L8),FALSE)</f>
        <v>15</v>
      </c>
      <c r="H8" s="61">
        <f t="shared" si="0"/>
        <v>15</v>
      </c>
      <c r="I8" s="129">
        <v>1</v>
      </c>
      <c r="J8" s="127">
        <v>98315.540000000008</v>
      </c>
      <c r="L8" s="127">
        <v>66</v>
      </c>
      <c r="M8" s="127">
        <v>34.086098305848942</v>
      </c>
      <c r="N8" s="127">
        <v>15</v>
      </c>
      <c r="O8" s="127">
        <v>15</v>
      </c>
      <c r="T8" s="62">
        <f t="shared" si="1"/>
        <v>0</v>
      </c>
      <c r="U8" s="62">
        <f t="shared" si="2"/>
        <v>0</v>
      </c>
      <c r="V8" s="62">
        <f t="shared" si="3"/>
        <v>0</v>
      </c>
      <c r="W8" s="62">
        <f t="shared" si="4"/>
        <v>0</v>
      </c>
    </row>
    <row r="9" spans="1:23">
      <c r="B9" s="133">
        <v>13</v>
      </c>
      <c r="C9" s="133">
        <v>2</v>
      </c>
      <c r="D9" s="134" t="s">
        <v>132</v>
      </c>
      <c r="E9" s="96"/>
      <c r="F9" s="97"/>
      <c r="G9" s="61">
        <f>HLOOKUP('2. Notes and Assumptions'!$C$16,$L$4:$O$187,ROWS($L$4:L9),FALSE)</f>
        <v>15</v>
      </c>
      <c r="H9" s="61">
        <f t="shared" si="0"/>
        <v>15</v>
      </c>
      <c r="I9" s="129">
        <v>2</v>
      </c>
      <c r="J9" s="127">
        <v>4229.0950000000003</v>
      </c>
      <c r="L9" s="127">
        <v>66</v>
      </c>
      <c r="M9" s="127">
        <v>34.086098305848942</v>
      </c>
      <c r="N9" s="127">
        <v>15</v>
      </c>
      <c r="O9" s="127">
        <v>15</v>
      </c>
      <c r="T9" s="62">
        <f t="shared" si="1"/>
        <v>0</v>
      </c>
      <c r="U9" s="62">
        <f t="shared" si="2"/>
        <v>0</v>
      </c>
      <c r="V9" s="62">
        <f t="shared" si="3"/>
        <v>0</v>
      </c>
      <c r="W9" s="62">
        <f t="shared" si="4"/>
        <v>0</v>
      </c>
    </row>
    <row r="10" spans="1:23">
      <c r="B10" s="133">
        <v>21</v>
      </c>
      <c r="C10" s="133">
        <v>3</v>
      </c>
      <c r="D10" s="134" t="s">
        <v>132</v>
      </c>
      <c r="E10" s="96"/>
      <c r="F10" s="97"/>
      <c r="G10" s="61">
        <f>HLOOKUP('2. Notes and Assumptions'!$C$16,$L$4:$O$187,ROWS($L$4:L10),FALSE)</f>
        <v>60</v>
      </c>
      <c r="H10" s="61">
        <f t="shared" si="0"/>
        <v>60</v>
      </c>
      <c r="I10" s="129">
        <v>1</v>
      </c>
      <c r="J10" s="127">
        <v>273176.2</v>
      </c>
      <c r="L10" s="127">
        <v>66</v>
      </c>
      <c r="M10" s="127">
        <v>34.086098305848942</v>
      </c>
      <c r="N10" s="127">
        <v>60</v>
      </c>
      <c r="O10" s="127">
        <v>60</v>
      </c>
      <c r="T10" s="62">
        <f t="shared" si="1"/>
        <v>0</v>
      </c>
      <c r="U10" s="62">
        <f t="shared" si="2"/>
        <v>0</v>
      </c>
      <c r="V10" s="62">
        <f t="shared" si="3"/>
        <v>0</v>
      </c>
      <c r="W10" s="62">
        <f t="shared" si="4"/>
        <v>0</v>
      </c>
    </row>
    <row r="11" spans="1:23">
      <c r="B11" s="133">
        <v>23</v>
      </c>
      <c r="C11" s="133">
        <v>3</v>
      </c>
      <c r="D11" s="134" t="s">
        <v>132</v>
      </c>
      <c r="E11" s="96"/>
      <c r="F11" s="97"/>
      <c r="G11" s="61">
        <f>HLOOKUP('2. Notes and Assumptions'!$C$16,$L$4:$O$187,ROWS($L$4:L11),FALSE)</f>
        <v>60</v>
      </c>
      <c r="H11" s="61">
        <f t="shared" si="0"/>
        <v>60</v>
      </c>
      <c r="I11" s="129">
        <v>2</v>
      </c>
      <c r="J11" s="127">
        <v>1836153.4933333334</v>
      </c>
      <c r="L11" s="127">
        <v>66</v>
      </c>
      <c r="M11" s="127">
        <v>34.086098305848942</v>
      </c>
      <c r="N11" s="127">
        <v>60</v>
      </c>
      <c r="O11" s="127">
        <v>60</v>
      </c>
      <c r="T11" s="62">
        <f t="shared" si="1"/>
        <v>0</v>
      </c>
      <c r="U11" s="62">
        <f t="shared" si="2"/>
        <v>0</v>
      </c>
      <c r="V11" s="62">
        <f t="shared" si="3"/>
        <v>0</v>
      </c>
      <c r="W11" s="62">
        <f t="shared" si="4"/>
        <v>0</v>
      </c>
    </row>
    <row r="12" spans="1:23">
      <c r="B12" s="133">
        <v>25</v>
      </c>
      <c r="C12" s="133">
        <v>3</v>
      </c>
      <c r="D12" s="134" t="s">
        <v>132</v>
      </c>
      <c r="E12" s="96"/>
      <c r="F12" s="97"/>
      <c r="G12" s="61">
        <f>HLOOKUP('2. Notes and Assumptions'!$C$16,$L$4:$O$187,ROWS($L$4:L12),FALSE)</f>
        <v>60</v>
      </c>
      <c r="H12" s="61">
        <f t="shared" si="0"/>
        <v>60</v>
      </c>
      <c r="I12" s="129">
        <v>3</v>
      </c>
      <c r="J12" s="127">
        <v>4350000</v>
      </c>
      <c r="L12" s="127">
        <v>66</v>
      </c>
      <c r="M12" s="127">
        <v>34.086098305848942</v>
      </c>
      <c r="N12" s="127">
        <v>60</v>
      </c>
      <c r="O12" s="127">
        <v>60</v>
      </c>
      <c r="T12" s="62">
        <f t="shared" si="1"/>
        <v>0</v>
      </c>
      <c r="U12" s="62">
        <f t="shared" si="2"/>
        <v>0</v>
      </c>
      <c r="V12" s="62">
        <f t="shared" si="3"/>
        <v>0</v>
      </c>
      <c r="W12" s="62">
        <f t="shared" si="4"/>
        <v>0</v>
      </c>
    </row>
    <row r="13" spans="1:23">
      <c r="B13" s="133">
        <v>385</v>
      </c>
      <c r="C13" s="133">
        <v>39</v>
      </c>
      <c r="D13" s="134" t="s">
        <v>132</v>
      </c>
      <c r="E13" s="96"/>
      <c r="F13" s="97"/>
      <c r="G13" s="61">
        <f>HLOOKUP('2. Notes and Assumptions'!$C$16,$L$4:$O$187,ROWS($L$4:L13),FALSE)</f>
        <v>60</v>
      </c>
      <c r="H13" s="61">
        <f t="shared" si="0"/>
        <v>60</v>
      </c>
      <c r="I13" s="129">
        <v>3</v>
      </c>
      <c r="J13" s="127">
        <v>521846.8621056804</v>
      </c>
      <c r="L13" s="127">
        <v>66</v>
      </c>
      <c r="M13" s="127">
        <v>34.086098305848942</v>
      </c>
      <c r="N13" s="127">
        <v>60</v>
      </c>
      <c r="O13" s="127">
        <v>60</v>
      </c>
      <c r="T13" s="62">
        <f t="shared" si="1"/>
        <v>0</v>
      </c>
      <c r="U13" s="62">
        <f t="shared" si="2"/>
        <v>0</v>
      </c>
      <c r="V13" s="62">
        <f t="shared" si="3"/>
        <v>0</v>
      </c>
      <c r="W13" s="62">
        <f t="shared" si="4"/>
        <v>0</v>
      </c>
    </row>
    <row r="14" spans="1:23">
      <c r="B14" s="133">
        <v>387</v>
      </c>
      <c r="C14" s="133">
        <v>39</v>
      </c>
      <c r="D14" s="134" t="s">
        <v>132</v>
      </c>
      <c r="E14" s="96"/>
      <c r="F14" s="97"/>
      <c r="G14" s="61">
        <f>HLOOKUP('2. Notes and Assumptions'!$C$16,$L$4:$O$187,ROWS($L$4:L14),FALSE)</f>
        <v>60</v>
      </c>
      <c r="H14" s="61">
        <f t="shared" si="0"/>
        <v>60</v>
      </c>
      <c r="I14" s="129">
        <v>4</v>
      </c>
      <c r="J14" s="127">
        <v>2677141.8377759494</v>
      </c>
      <c r="L14" s="127">
        <v>66</v>
      </c>
      <c r="M14" s="127">
        <v>34.086098305848942</v>
      </c>
      <c r="N14" s="127">
        <v>60</v>
      </c>
      <c r="O14" s="127">
        <v>60</v>
      </c>
      <c r="T14" s="62">
        <f t="shared" si="1"/>
        <v>2677141.8377759494</v>
      </c>
      <c r="U14" s="62">
        <f t="shared" si="2"/>
        <v>34.086098305848942</v>
      </c>
      <c r="V14" s="62">
        <f t="shared" si="3"/>
        <v>0</v>
      </c>
      <c r="W14" s="62">
        <f t="shared" si="4"/>
        <v>0</v>
      </c>
    </row>
    <row r="15" spans="1:23">
      <c r="B15" s="133">
        <v>389</v>
      </c>
      <c r="C15" s="133">
        <v>39</v>
      </c>
      <c r="D15" s="134" t="s">
        <v>132</v>
      </c>
      <c r="E15" s="96"/>
      <c r="F15" s="97"/>
      <c r="G15" s="61">
        <f>HLOOKUP('2. Notes and Assumptions'!$C$16,$L$4:$O$187,ROWS($L$4:L15),FALSE)</f>
        <v>60</v>
      </c>
      <c r="H15" s="61">
        <f t="shared" si="0"/>
        <v>60</v>
      </c>
      <c r="I15" s="129">
        <v>5</v>
      </c>
      <c r="J15" s="127">
        <v>11882775.912899405</v>
      </c>
      <c r="L15" s="127">
        <v>66</v>
      </c>
      <c r="M15" s="127">
        <v>34.086098305848942</v>
      </c>
      <c r="N15" s="127">
        <v>60</v>
      </c>
      <c r="O15" s="127">
        <v>60</v>
      </c>
      <c r="T15" s="62">
        <f t="shared" si="1"/>
        <v>0</v>
      </c>
      <c r="U15" s="62">
        <f t="shared" si="2"/>
        <v>0</v>
      </c>
      <c r="V15" s="62">
        <f t="shared" si="3"/>
        <v>11882775.912899405</v>
      </c>
      <c r="W15" s="62">
        <f t="shared" si="4"/>
        <v>34.086098305848942</v>
      </c>
    </row>
    <row r="16" spans="1:23">
      <c r="B16" s="133">
        <v>391</v>
      </c>
      <c r="C16" s="133">
        <v>40</v>
      </c>
      <c r="D16" s="134" t="s">
        <v>132</v>
      </c>
      <c r="E16" s="96"/>
      <c r="F16" s="97"/>
      <c r="G16" s="61">
        <f>HLOOKUP('2. Notes and Assumptions'!$C$16,$L$4:$O$187,ROWS($L$4:L16),FALSE)</f>
        <v>80</v>
      </c>
      <c r="H16" s="61">
        <f t="shared" si="0"/>
        <v>80</v>
      </c>
      <c r="I16" s="129">
        <v>1</v>
      </c>
      <c r="J16" s="127">
        <v>482376.97000000009</v>
      </c>
      <c r="L16" s="127">
        <v>66</v>
      </c>
      <c r="M16" s="127">
        <v>34.086098305848942</v>
      </c>
      <c r="N16" s="127">
        <v>80</v>
      </c>
      <c r="O16" s="127">
        <v>80</v>
      </c>
      <c r="T16" s="62">
        <f t="shared" si="1"/>
        <v>0</v>
      </c>
      <c r="U16" s="62">
        <f t="shared" si="2"/>
        <v>0</v>
      </c>
      <c r="V16" s="62">
        <f t="shared" si="3"/>
        <v>0</v>
      </c>
      <c r="W16" s="62">
        <f t="shared" si="4"/>
        <v>0</v>
      </c>
    </row>
    <row r="17" spans="2:23">
      <c r="B17" s="133">
        <v>393</v>
      </c>
      <c r="C17" s="133">
        <v>40</v>
      </c>
      <c r="D17" s="134" t="s">
        <v>132</v>
      </c>
      <c r="E17" s="96"/>
      <c r="F17" s="97"/>
      <c r="G17" s="61">
        <f>HLOOKUP('2. Notes and Assumptions'!$C$16,$L$4:$O$187,ROWS($L$4:L17),FALSE)</f>
        <v>80</v>
      </c>
      <c r="H17" s="61">
        <f t="shared" si="0"/>
        <v>80</v>
      </c>
      <c r="I17" s="129">
        <v>2</v>
      </c>
      <c r="J17" s="127">
        <v>411071.86</v>
      </c>
      <c r="L17" s="127">
        <v>66</v>
      </c>
      <c r="M17" s="127">
        <v>34.086098305848942</v>
      </c>
      <c r="N17" s="127">
        <v>80</v>
      </c>
      <c r="O17" s="127">
        <v>80</v>
      </c>
      <c r="T17" s="62">
        <f t="shared" si="1"/>
        <v>0</v>
      </c>
      <c r="U17" s="62">
        <f t="shared" si="2"/>
        <v>0</v>
      </c>
      <c r="V17" s="62">
        <f t="shared" si="3"/>
        <v>0</v>
      </c>
      <c r="W17" s="62">
        <f t="shared" si="4"/>
        <v>0</v>
      </c>
    </row>
    <row r="18" spans="2:23">
      <c r="B18" s="133">
        <v>395</v>
      </c>
      <c r="C18" s="133">
        <v>40</v>
      </c>
      <c r="D18" s="134" t="s">
        <v>132</v>
      </c>
      <c r="E18" s="96"/>
      <c r="F18" s="97"/>
      <c r="G18" s="61">
        <f>HLOOKUP('2. Notes and Assumptions'!$C$16,$L$4:$O$187,ROWS($L$4:L18),FALSE)</f>
        <v>80</v>
      </c>
      <c r="H18" s="61">
        <f t="shared" si="0"/>
        <v>80</v>
      </c>
      <c r="I18" s="129">
        <v>3</v>
      </c>
      <c r="J18" s="127">
        <v>2970694</v>
      </c>
      <c r="L18" s="127">
        <v>66</v>
      </c>
      <c r="M18" s="127">
        <v>34.086098305848942</v>
      </c>
      <c r="N18" s="127">
        <v>80</v>
      </c>
      <c r="O18" s="127">
        <v>80</v>
      </c>
      <c r="T18" s="62">
        <f t="shared" si="1"/>
        <v>0</v>
      </c>
      <c r="U18" s="62">
        <f t="shared" si="2"/>
        <v>0</v>
      </c>
      <c r="V18" s="62">
        <f t="shared" si="3"/>
        <v>0</v>
      </c>
      <c r="W18" s="62">
        <f t="shared" si="4"/>
        <v>0</v>
      </c>
    </row>
    <row r="19" spans="2:23">
      <c r="B19" s="133">
        <v>397</v>
      </c>
      <c r="C19" s="133">
        <v>40</v>
      </c>
      <c r="D19" s="134" t="s">
        <v>132</v>
      </c>
      <c r="E19" s="96"/>
      <c r="F19" s="97"/>
      <c r="G19" s="61">
        <f>HLOOKUP('2. Notes and Assumptions'!$C$16,$L$4:$O$187,ROWS($L$4:L19),FALSE)</f>
        <v>80</v>
      </c>
      <c r="H19" s="61">
        <f t="shared" si="0"/>
        <v>80</v>
      </c>
      <c r="I19" s="129">
        <v>4</v>
      </c>
      <c r="J19" s="127">
        <v>3054266</v>
      </c>
      <c r="L19" s="127">
        <v>66</v>
      </c>
      <c r="M19" s="127">
        <v>34.086098305848942</v>
      </c>
      <c r="N19" s="127">
        <v>80</v>
      </c>
      <c r="O19" s="127">
        <v>80</v>
      </c>
      <c r="T19" s="62">
        <f t="shared" si="1"/>
        <v>3054266</v>
      </c>
      <c r="U19" s="62">
        <f t="shared" si="2"/>
        <v>34.086098305848942</v>
      </c>
      <c r="V19" s="62">
        <f t="shared" si="3"/>
        <v>0</v>
      </c>
      <c r="W19" s="62">
        <f t="shared" si="4"/>
        <v>0</v>
      </c>
    </row>
    <row r="20" spans="2:23">
      <c r="B20" s="133">
        <v>399</v>
      </c>
      <c r="C20" s="133">
        <v>40</v>
      </c>
      <c r="D20" s="134" t="s">
        <v>132</v>
      </c>
      <c r="E20" s="96"/>
      <c r="F20" s="97"/>
      <c r="G20" s="61">
        <f>HLOOKUP('2. Notes and Assumptions'!$C$16,$L$4:$O$187,ROWS($L$4:L20),FALSE)</f>
        <v>80</v>
      </c>
      <c r="H20" s="61">
        <f t="shared" si="0"/>
        <v>80</v>
      </c>
      <c r="I20" s="129">
        <v>5</v>
      </c>
      <c r="J20" s="127">
        <v>3143269</v>
      </c>
      <c r="L20" s="127">
        <v>66</v>
      </c>
      <c r="M20" s="127">
        <v>34.086098305848942</v>
      </c>
      <c r="N20" s="127">
        <v>80</v>
      </c>
      <c r="O20" s="127">
        <v>80</v>
      </c>
      <c r="T20" s="62">
        <f t="shared" si="1"/>
        <v>0</v>
      </c>
      <c r="U20" s="62">
        <f t="shared" si="2"/>
        <v>0</v>
      </c>
      <c r="V20" s="62">
        <f t="shared" si="3"/>
        <v>3143269</v>
      </c>
      <c r="W20" s="62">
        <f t="shared" si="4"/>
        <v>34.086098305848942</v>
      </c>
    </row>
    <row r="21" spans="2:23">
      <c r="B21" s="133">
        <v>401</v>
      </c>
      <c r="C21" s="133">
        <v>41</v>
      </c>
      <c r="D21" s="134" t="s">
        <v>132</v>
      </c>
      <c r="E21" s="96"/>
      <c r="F21" s="97"/>
      <c r="G21" s="61">
        <f>HLOOKUP('2. Notes and Assumptions'!$C$16,$L$4:$O$187,ROWS($L$4:L21),FALSE)</f>
        <v>40</v>
      </c>
      <c r="H21" s="61">
        <f t="shared" si="0"/>
        <v>40</v>
      </c>
      <c r="I21" s="129">
        <v>1</v>
      </c>
      <c r="J21" s="127">
        <v>2512264.6</v>
      </c>
      <c r="L21" s="127">
        <v>66</v>
      </c>
      <c r="M21" s="127">
        <v>34.086098305848942</v>
      </c>
      <c r="N21" s="127">
        <v>40</v>
      </c>
      <c r="O21" s="127">
        <v>40</v>
      </c>
      <c r="T21" s="62">
        <f t="shared" si="1"/>
        <v>0</v>
      </c>
      <c r="U21" s="62">
        <f t="shared" si="2"/>
        <v>0</v>
      </c>
      <c r="V21" s="62">
        <f t="shared" si="3"/>
        <v>0</v>
      </c>
      <c r="W21" s="62">
        <f t="shared" si="4"/>
        <v>0</v>
      </c>
    </row>
    <row r="22" spans="2:23">
      <c r="B22" s="133">
        <v>403</v>
      </c>
      <c r="C22" s="133">
        <v>41</v>
      </c>
      <c r="D22" s="134" t="s">
        <v>132</v>
      </c>
      <c r="E22" s="96"/>
      <c r="F22" s="97"/>
      <c r="G22" s="61">
        <f>HLOOKUP('2. Notes and Assumptions'!$C$16,$L$4:$O$187,ROWS($L$4:L22),FALSE)</f>
        <v>40</v>
      </c>
      <c r="H22" s="61">
        <f t="shared" si="0"/>
        <v>40</v>
      </c>
      <c r="I22" s="129">
        <v>2</v>
      </c>
      <c r="J22" s="127">
        <v>5316189.1900000004</v>
      </c>
      <c r="L22" s="127">
        <v>66</v>
      </c>
      <c r="M22" s="127">
        <v>34.086098305848942</v>
      </c>
      <c r="N22" s="127">
        <v>40</v>
      </c>
      <c r="O22" s="127">
        <v>40</v>
      </c>
      <c r="T22" s="62">
        <f t="shared" si="1"/>
        <v>0</v>
      </c>
      <c r="U22" s="62">
        <f t="shared" si="2"/>
        <v>0</v>
      </c>
      <c r="V22" s="62">
        <f t="shared" si="3"/>
        <v>0</v>
      </c>
      <c r="W22" s="62">
        <f t="shared" si="4"/>
        <v>0</v>
      </c>
    </row>
    <row r="23" spans="2:23">
      <c r="B23" s="133">
        <v>405</v>
      </c>
      <c r="C23" s="133">
        <v>41</v>
      </c>
      <c r="D23" s="134" t="s">
        <v>132</v>
      </c>
      <c r="E23" s="96"/>
      <c r="F23" s="97"/>
      <c r="G23" s="61">
        <f>HLOOKUP('2. Notes and Assumptions'!$C$16,$L$4:$O$187,ROWS($L$4:L23),FALSE)</f>
        <v>40</v>
      </c>
      <c r="H23" s="61">
        <f t="shared" si="0"/>
        <v>40</v>
      </c>
      <c r="I23" s="129">
        <v>3</v>
      </c>
      <c r="J23" s="127">
        <v>1369073.8099999996</v>
      </c>
      <c r="L23" s="127">
        <v>66</v>
      </c>
      <c r="M23" s="127">
        <v>34.086098305848942</v>
      </c>
      <c r="N23" s="127">
        <v>40</v>
      </c>
      <c r="O23" s="127">
        <v>40</v>
      </c>
      <c r="T23" s="62">
        <f t="shared" si="1"/>
        <v>0</v>
      </c>
      <c r="U23" s="62">
        <f t="shared" si="2"/>
        <v>0</v>
      </c>
      <c r="V23" s="62">
        <f t="shared" si="3"/>
        <v>0</v>
      </c>
      <c r="W23" s="62">
        <f t="shared" si="4"/>
        <v>0</v>
      </c>
    </row>
    <row r="24" spans="2:23">
      <c r="B24" s="133">
        <v>415</v>
      </c>
      <c r="C24" s="133">
        <v>42</v>
      </c>
      <c r="D24" s="134" t="s">
        <v>132</v>
      </c>
      <c r="E24" s="96"/>
      <c r="F24" s="97"/>
      <c r="G24" s="61">
        <f>HLOOKUP('2. Notes and Assumptions'!$C$16,$L$4:$O$187,ROWS($L$4:L24),FALSE)</f>
        <v>50</v>
      </c>
      <c r="H24" s="61">
        <f t="shared" si="0"/>
        <v>50</v>
      </c>
      <c r="I24" s="129">
        <v>3</v>
      </c>
      <c r="J24" s="127">
        <v>1043693.7242113608</v>
      </c>
      <c r="L24" s="127">
        <v>66</v>
      </c>
      <c r="M24" s="127">
        <v>34.086098305848942</v>
      </c>
      <c r="N24" s="127">
        <v>50</v>
      </c>
      <c r="O24" s="127">
        <v>50</v>
      </c>
      <c r="T24" s="62">
        <f t="shared" si="1"/>
        <v>0</v>
      </c>
      <c r="U24" s="62">
        <f t="shared" si="2"/>
        <v>0</v>
      </c>
      <c r="V24" s="62">
        <f t="shared" si="3"/>
        <v>0</v>
      </c>
      <c r="W24" s="62">
        <f t="shared" si="4"/>
        <v>0</v>
      </c>
    </row>
    <row r="25" spans="2:23">
      <c r="B25" s="133">
        <v>417</v>
      </c>
      <c r="C25" s="133">
        <v>42</v>
      </c>
      <c r="D25" s="134" t="s">
        <v>132</v>
      </c>
      <c r="E25" s="96"/>
      <c r="F25" s="97"/>
      <c r="G25" s="61">
        <f>HLOOKUP('2. Notes and Assumptions'!$C$16,$L$4:$O$187,ROWS($L$4:L25),FALSE)</f>
        <v>50</v>
      </c>
      <c r="H25" s="61">
        <f t="shared" si="0"/>
        <v>50</v>
      </c>
      <c r="I25" s="129">
        <v>4</v>
      </c>
      <c r="J25" s="127">
        <v>3212570.2053311393</v>
      </c>
      <c r="L25" s="127">
        <v>66</v>
      </c>
      <c r="M25" s="127">
        <v>34.086098305848942</v>
      </c>
      <c r="N25" s="127">
        <v>50</v>
      </c>
      <c r="O25" s="127">
        <v>50</v>
      </c>
      <c r="T25" s="62">
        <f t="shared" si="1"/>
        <v>3212570.2053311393</v>
      </c>
      <c r="U25" s="62">
        <f t="shared" si="2"/>
        <v>34.086098305848942</v>
      </c>
      <c r="V25" s="62">
        <f t="shared" si="3"/>
        <v>0</v>
      </c>
      <c r="W25" s="62">
        <f t="shared" si="4"/>
        <v>0</v>
      </c>
    </row>
    <row r="26" spans="2:23">
      <c r="B26" s="133">
        <v>419</v>
      </c>
      <c r="C26" s="133">
        <v>42</v>
      </c>
      <c r="D26" s="134" t="s">
        <v>132</v>
      </c>
      <c r="E26" s="96"/>
      <c r="F26" s="97"/>
      <c r="G26" s="61">
        <f>HLOOKUP('2. Notes and Assumptions'!$C$16,$L$4:$O$187,ROWS($L$4:L26),FALSE)</f>
        <v>50</v>
      </c>
      <c r="H26" s="61">
        <f t="shared" si="0"/>
        <v>50</v>
      </c>
      <c r="I26" s="129">
        <v>5</v>
      </c>
      <c r="J26" s="127">
        <v>4321009.4228725107</v>
      </c>
      <c r="L26" s="127">
        <v>66</v>
      </c>
      <c r="M26" s="127">
        <v>34.086098305848942</v>
      </c>
      <c r="N26" s="127">
        <v>50</v>
      </c>
      <c r="O26" s="127">
        <v>50</v>
      </c>
      <c r="T26" s="62">
        <f t="shared" si="1"/>
        <v>0</v>
      </c>
      <c r="U26" s="62">
        <f t="shared" si="2"/>
        <v>0</v>
      </c>
      <c r="V26" s="62">
        <f t="shared" si="3"/>
        <v>4321009.4228725107</v>
      </c>
      <c r="W26" s="62">
        <f t="shared" si="4"/>
        <v>34.086098305848942</v>
      </c>
    </row>
    <row r="27" spans="2:23">
      <c r="B27" s="133">
        <v>423</v>
      </c>
      <c r="C27" s="133">
        <v>43</v>
      </c>
      <c r="D27" s="134" t="s">
        <v>132</v>
      </c>
      <c r="E27" s="96"/>
      <c r="F27" s="97"/>
      <c r="G27" s="61">
        <f>HLOOKUP('2. Notes and Assumptions'!$C$16,$L$4:$O$187,ROWS($L$4:L27),FALSE)</f>
        <v>30</v>
      </c>
      <c r="H27" s="61">
        <f t="shared" si="0"/>
        <v>30</v>
      </c>
      <c r="I27" s="129">
        <v>2</v>
      </c>
      <c r="J27" s="127">
        <v>283901</v>
      </c>
      <c r="L27" s="127">
        <v>66</v>
      </c>
      <c r="M27" s="127">
        <v>34.086098305848942</v>
      </c>
      <c r="N27" s="127">
        <v>30</v>
      </c>
      <c r="O27" s="127">
        <v>30</v>
      </c>
      <c r="T27" s="62">
        <f t="shared" si="1"/>
        <v>0</v>
      </c>
      <c r="U27" s="62">
        <f t="shared" si="2"/>
        <v>0</v>
      </c>
      <c r="V27" s="62">
        <f t="shared" si="3"/>
        <v>0</v>
      </c>
      <c r="W27" s="62">
        <f t="shared" si="4"/>
        <v>0</v>
      </c>
    </row>
    <row r="28" spans="2:23">
      <c r="B28" s="133">
        <v>425</v>
      </c>
      <c r="C28" s="133">
        <v>43</v>
      </c>
      <c r="D28" s="134" t="s">
        <v>132</v>
      </c>
      <c r="E28" s="96"/>
      <c r="F28" s="97"/>
      <c r="G28" s="61">
        <f>HLOOKUP('2. Notes and Assumptions'!$C$16,$L$4:$O$187,ROWS($L$4:L28),FALSE)</f>
        <v>30</v>
      </c>
      <c r="H28" s="61">
        <f t="shared" si="0"/>
        <v>30</v>
      </c>
      <c r="I28" s="129">
        <v>3</v>
      </c>
      <c r="J28" s="127">
        <v>459863</v>
      </c>
      <c r="L28" s="127">
        <v>66</v>
      </c>
      <c r="M28" s="127">
        <v>34.086098305848942</v>
      </c>
      <c r="N28" s="127">
        <v>30</v>
      </c>
      <c r="O28" s="127">
        <v>30</v>
      </c>
      <c r="T28" s="62">
        <f t="shared" si="1"/>
        <v>0</v>
      </c>
      <c r="U28" s="62">
        <f t="shared" si="2"/>
        <v>0</v>
      </c>
      <c r="V28" s="62">
        <f t="shared" si="3"/>
        <v>0</v>
      </c>
      <c r="W28" s="62">
        <f t="shared" si="4"/>
        <v>0</v>
      </c>
    </row>
    <row r="29" spans="2:23">
      <c r="B29" s="133">
        <v>427</v>
      </c>
      <c r="C29" s="133">
        <v>43</v>
      </c>
      <c r="D29" s="134" t="s">
        <v>132</v>
      </c>
      <c r="E29" s="96"/>
      <c r="F29" s="97"/>
      <c r="G29" s="61">
        <f>HLOOKUP('2. Notes and Assumptions'!$C$16,$L$4:$O$187,ROWS($L$4:L29),FALSE)</f>
        <v>30</v>
      </c>
      <c r="H29" s="61">
        <f t="shared" si="0"/>
        <v>30</v>
      </c>
      <c r="I29" s="129">
        <v>4</v>
      </c>
      <c r="J29" s="127">
        <v>3331926</v>
      </c>
      <c r="L29" s="127">
        <v>66</v>
      </c>
      <c r="M29" s="127">
        <v>34.086098305848942</v>
      </c>
      <c r="N29" s="127">
        <v>30</v>
      </c>
      <c r="O29" s="127">
        <v>30</v>
      </c>
      <c r="T29" s="62">
        <f t="shared" si="1"/>
        <v>3331926</v>
      </c>
      <c r="U29" s="62">
        <f t="shared" si="2"/>
        <v>34.086098305848942</v>
      </c>
      <c r="V29" s="62">
        <f t="shared" si="3"/>
        <v>0</v>
      </c>
      <c r="W29" s="62">
        <f t="shared" si="4"/>
        <v>0</v>
      </c>
    </row>
    <row r="30" spans="2:23">
      <c r="B30" s="133">
        <v>429</v>
      </c>
      <c r="C30" s="133">
        <v>43</v>
      </c>
      <c r="D30" s="134" t="s">
        <v>132</v>
      </c>
      <c r="E30" s="96"/>
      <c r="F30" s="97"/>
      <c r="G30" s="61">
        <f>HLOOKUP('2. Notes and Assumptions'!$C$16,$L$4:$O$187,ROWS($L$4:L30),FALSE)</f>
        <v>30</v>
      </c>
      <c r="H30" s="61">
        <f t="shared" si="0"/>
        <v>30</v>
      </c>
      <c r="I30" s="129">
        <v>5</v>
      </c>
      <c r="J30" s="127">
        <v>3429021</v>
      </c>
      <c r="L30" s="127">
        <v>66</v>
      </c>
      <c r="M30" s="127">
        <v>34.086098305848942</v>
      </c>
      <c r="N30" s="127">
        <v>30</v>
      </c>
      <c r="O30" s="127">
        <v>30</v>
      </c>
      <c r="T30" s="62">
        <f t="shared" si="1"/>
        <v>0</v>
      </c>
      <c r="U30" s="62">
        <f t="shared" si="2"/>
        <v>0</v>
      </c>
      <c r="V30" s="62">
        <f t="shared" si="3"/>
        <v>3429021</v>
      </c>
      <c r="W30" s="62">
        <f t="shared" si="4"/>
        <v>34.086098305848942</v>
      </c>
    </row>
    <row r="31" spans="2:23">
      <c r="B31" s="133">
        <v>435</v>
      </c>
      <c r="C31" s="133">
        <v>44</v>
      </c>
      <c r="D31" s="134" t="s">
        <v>132</v>
      </c>
      <c r="E31" s="96"/>
      <c r="F31" s="97"/>
      <c r="G31" s="61">
        <f>HLOOKUP('2. Notes and Assumptions'!$C$16,$L$4:$O$187,ROWS($L$4:L31),FALSE)</f>
        <v>80</v>
      </c>
      <c r="H31" s="61">
        <f t="shared" si="0"/>
        <v>80</v>
      </c>
      <c r="I31" s="129">
        <v>3</v>
      </c>
      <c r="J31" s="127">
        <v>3146998</v>
      </c>
      <c r="L31" s="127">
        <v>66</v>
      </c>
      <c r="M31" s="127">
        <v>34.086098305848942</v>
      </c>
      <c r="N31" s="127">
        <v>80</v>
      </c>
      <c r="O31" s="127">
        <v>80</v>
      </c>
      <c r="T31" s="62">
        <f t="shared" si="1"/>
        <v>0</v>
      </c>
      <c r="U31" s="62">
        <f t="shared" si="2"/>
        <v>0</v>
      </c>
      <c r="V31" s="62">
        <f t="shared" si="3"/>
        <v>0</v>
      </c>
      <c r="W31" s="62">
        <f t="shared" si="4"/>
        <v>0</v>
      </c>
    </row>
    <row r="32" spans="2:23">
      <c r="B32" s="133">
        <v>437</v>
      </c>
      <c r="C32" s="133">
        <v>44</v>
      </c>
      <c r="D32" s="134" t="s">
        <v>132</v>
      </c>
      <c r="E32" s="96"/>
      <c r="F32" s="97"/>
      <c r="G32" s="61">
        <f>HLOOKUP('2. Notes and Assumptions'!$C$16,$L$4:$O$187,ROWS($L$4:L32),FALSE)</f>
        <v>80</v>
      </c>
      <c r="H32" s="61">
        <f t="shared" si="0"/>
        <v>80</v>
      </c>
      <c r="I32" s="129">
        <v>4</v>
      </c>
      <c r="J32" s="127">
        <v>2751190</v>
      </c>
      <c r="L32" s="127">
        <v>66</v>
      </c>
      <c r="M32" s="127">
        <v>34.086098305848942</v>
      </c>
      <c r="N32" s="127">
        <v>80</v>
      </c>
      <c r="O32" s="127">
        <v>80</v>
      </c>
      <c r="T32" s="62">
        <f t="shared" si="1"/>
        <v>2751190</v>
      </c>
      <c r="U32" s="62">
        <f t="shared" si="2"/>
        <v>34.086098305848942</v>
      </c>
      <c r="V32" s="62">
        <f t="shared" si="3"/>
        <v>0</v>
      </c>
      <c r="W32" s="62">
        <f t="shared" si="4"/>
        <v>0</v>
      </c>
    </row>
    <row r="33" spans="2:23">
      <c r="B33" s="133">
        <v>439</v>
      </c>
      <c r="C33" s="133">
        <v>44</v>
      </c>
      <c r="D33" s="134" t="s">
        <v>132</v>
      </c>
      <c r="E33" s="96"/>
      <c r="F33" s="97"/>
      <c r="G33" s="61">
        <f>HLOOKUP('2. Notes and Assumptions'!$C$16,$L$4:$O$187,ROWS($L$4:L33),FALSE)</f>
        <v>80</v>
      </c>
      <c r="H33" s="61">
        <f t="shared" si="0"/>
        <v>80</v>
      </c>
      <c r="I33" s="129">
        <v>5</v>
      </c>
      <c r="J33" s="127">
        <v>1301076</v>
      </c>
      <c r="L33" s="127">
        <v>66</v>
      </c>
      <c r="M33" s="127">
        <v>34.086098305848942</v>
      </c>
      <c r="N33" s="127">
        <v>80</v>
      </c>
      <c r="O33" s="127">
        <v>80</v>
      </c>
      <c r="T33" s="62">
        <f t="shared" si="1"/>
        <v>0</v>
      </c>
      <c r="U33" s="62">
        <f t="shared" si="2"/>
        <v>0</v>
      </c>
      <c r="V33" s="62">
        <f t="shared" si="3"/>
        <v>1301076</v>
      </c>
      <c r="W33" s="62">
        <f t="shared" si="4"/>
        <v>34.086098305848942</v>
      </c>
    </row>
    <row r="34" spans="2:23">
      <c r="B34" s="133">
        <v>443</v>
      </c>
      <c r="C34" s="133">
        <v>45</v>
      </c>
      <c r="D34" s="134" t="s">
        <v>132</v>
      </c>
      <c r="E34" s="96"/>
      <c r="F34" s="97"/>
      <c r="G34" s="61">
        <f>HLOOKUP('2. Notes and Assumptions'!$C$16,$L$4:$O$187,ROWS($L$4:L34),FALSE)</f>
        <v>40</v>
      </c>
      <c r="H34" s="61">
        <f t="shared" si="0"/>
        <v>40</v>
      </c>
      <c r="I34" s="129">
        <v>2</v>
      </c>
      <c r="J34" s="127">
        <v>200000</v>
      </c>
      <c r="L34" s="127">
        <v>66</v>
      </c>
      <c r="M34" s="127">
        <v>34.086098305848942</v>
      </c>
      <c r="N34" s="127">
        <v>40</v>
      </c>
      <c r="O34" s="127">
        <v>40</v>
      </c>
      <c r="T34" s="62">
        <f t="shared" si="1"/>
        <v>0</v>
      </c>
      <c r="U34" s="62">
        <f t="shared" si="2"/>
        <v>0</v>
      </c>
      <c r="V34" s="62">
        <f t="shared" si="3"/>
        <v>0</v>
      </c>
      <c r="W34" s="62">
        <f t="shared" si="4"/>
        <v>0</v>
      </c>
    </row>
    <row r="35" spans="2:23">
      <c r="B35" s="133">
        <v>445</v>
      </c>
      <c r="C35" s="133">
        <v>45</v>
      </c>
      <c r="D35" s="134" t="s">
        <v>132</v>
      </c>
      <c r="E35" s="96"/>
      <c r="F35" s="97"/>
      <c r="G35" s="61">
        <f>HLOOKUP('2. Notes and Assumptions'!$C$16,$L$4:$O$187,ROWS($L$4:L35),FALSE)</f>
        <v>40</v>
      </c>
      <c r="H35" s="61">
        <f t="shared" si="0"/>
        <v>40</v>
      </c>
      <c r="I35" s="129">
        <v>3</v>
      </c>
      <c r="J35" s="127">
        <v>610189</v>
      </c>
      <c r="L35" s="127">
        <v>66</v>
      </c>
      <c r="M35" s="127">
        <v>34.086098305848942</v>
      </c>
      <c r="N35" s="127">
        <v>40</v>
      </c>
      <c r="O35" s="127">
        <v>40</v>
      </c>
      <c r="T35" s="62">
        <f t="shared" si="1"/>
        <v>0</v>
      </c>
      <c r="U35" s="62">
        <f t="shared" si="2"/>
        <v>0</v>
      </c>
      <c r="V35" s="62">
        <f t="shared" si="3"/>
        <v>0</v>
      </c>
      <c r="W35" s="62">
        <f t="shared" si="4"/>
        <v>0</v>
      </c>
    </row>
    <row r="36" spans="2:23">
      <c r="B36" s="133">
        <v>447</v>
      </c>
      <c r="C36" s="133">
        <v>45</v>
      </c>
      <c r="D36" s="134" t="s">
        <v>132</v>
      </c>
      <c r="E36" s="96"/>
      <c r="F36" s="97"/>
      <c r="G36" s="61">
        <f>HLOOKUP('2. Notes and Assumptions'!$C$16,$L$4:$O$187,ROWS($L$4:L36),FALSE)</f>
        <v>40</v>
      </c>
      <c r="H36" s="61">
        <f t="shared" si="0"/>
        <v>40</v>
      </c>
      <c r="I36" s="129">
        <v>4</v>
      </c>
      <c r="J36" s="127">
        <v>2385104</v>
      </c>
      <c r="L36" s="127">
        <v>66</v>
      </c>
      <c r="M36" s="127">
        <v>34.086098305848942</v>
      </c>
      <c r="N36" s="127">
        <v>40</v>
      </c>
      <c r="O36" s="127">
        <v>40</v>
      </c>
      <c r="T36" s="62">
        <f t="shared" si="1"/>
        <v>2385104</v>
      </c>
      <c r="U36" s="62">
        <f t="shared" si="2"/>
        <v>34.086098305848942</v>
      </c>
      <c r="V36" s="62">
        <f t="shared" si="3"/>
        <v>0</v>
      </c>
      <c r="W36" s="62">
        <f t="shared" si="4"/>
        <v>0</v>
      </c>
    </row>
    <row r="37" spans="2:23">
      <c r="B37" s="133">
        <v>449</v>
      </c>
      <c r="C37" s="133">
        <v>45</v>
      </c>
      <c r="D37" s="134" t="s">
        <v>132</v>
      </c>
      <c r="E37" s="96"/>
      <c r="F37" s="97"/>
      <c r="G37" s="61">
        <f>HLOOKUP('2. Notes and Assumptions'!$C$16,$L$4:$O$187,ROWS($L$4:L37),FALSE)</f>
        <v>40</v>
      </c>
      <c r="H37" s="61">
        <f t="shared" si="0"/>
        <v>40</v>
      </c>
      <c r="I37" s="129">
        <v>5</v>
      </c>
      <c r="J37" s="127">
        <v>3429021</v>
      </c>
      <c r="L37" s="127">
        <v>66</v>
      </c>
      <c r="M37" s="127">
        <v>34.086098305848942</v>
      </c>
      <c r="N37" s="127">
        <v>40</v>
      </c>
      <c r="O37" s="127">
        <v>40</v>
      </c>
      <c r="T37" s="62">
        <f t="shared" si="1"/>
        <v>0</v>
      </c>
      <c r="U37" s="62">
        <f t="shared" si="2"/>
        <v>0</v>
      </c>
      <c r="V37" s="62">
        <f t="shared" si="3"/>
        <v>3429021</v>
      </c>
      <c r="W37" s="62">
        <f t="shared" si="4"/>
        <v>34.086098305848942</v>
      </c>
    </row>
    <row r="38" spans="2:23">
      <c r="B38" s="133">
        <v>451</v>
      </c>
      <c r="C38" s="133">
        <v>46</v>
      </c>
      <c r="D38" s="134" t="s">
        <v>132</v>
      </c>
      <c r="E38" s="96"/>
      <c r="F38" s="97"/>
      <c r="G38" s="61">
        <f>HLOOKUP('2. Notes and Assumptions'!$C$16,$L$4:$O$187,ROWS($L$4:L38),FALSE)</f>
        <v>50</v>
      </c>
      <c r="H38" s="61">
        <f t="shared" si="0"/>
        <v>50</v>
      </c>
      <c r="I38" s="129">
        <v>1</v>
      </c>
      <c r="J38" s="127">
        <v>5388467.1299999999</v>
      </c>
      <c r="L38" s="127">
        <v>66</v>
      </c>
      <c r="M38" s="127">
        <v>34.086098305848942</v>
      </c>
      <c r="N38" s="127">
        <v>50</v>
      </c>
      <c r="O38" s="127">
        <v>50</v>
      </c>
      <c r="T38" s="62">
        <f t="shared" si="1"/>
        <v>0</v>
      </c>
      <c r="U38" s="62">
        <f t="shared" si="2"/>
        <v>0</v>
      </c>
      <c r="V38" s="62">
        <f t="shared" si="3"/>
        <v>0</v>
      </c>
      <c r="W38" s="62">
        <f t="shared" si="4"/>
        <v>0</v>
      </c>
    </row>
    <row r="39" spans="2:23">
      <c r="B39" s="133">
        <v>453</v>
      </c>
      <c r="C39" s="133">
        <v>46</v>
      </c>
      <c r="D39" s="134" t="s">
        <v>132</v>
      </c>
      <c r="E39" s="96"/>
      <c r="F39" s="97"/>
      <c r="G39" s="61">
        <f>HLOOKUP('2. Notes and Assumptions'!$C$16,$L$4:$O$187,ROWS($L$4:L39),FALSE)</f>
        <v>50</v>
      </c>
      <c r="H39" s="61">
        <f t="shared" si="0"/>
        <v>50</v>
      </c>
      <c r="I39" s="129">
        <v>2</v>
      </c>
      <c r="J39" s="127">
        <v>848650.10000000009</v>
      </c>
      <c r="L39" s="127">
        <v>66</v>
      </c>
      <c r="M39" s="127">
        <v>34.086098305848942</v>
      </c>
      <c r="N39" s="127">
        <v>50</v>
      </c>
      <c r="O39" s="127">
        <v>50</v>
      </c>
      <c r="T39" s="62">
        <f t="shared" si="1"/>
        <v>0</v>
      </c>
      <c r="U39" s="62">
        <f t="shared" si="2"/>
        <v>0</v>
      </c>
      <c r="V39" s="62">
        <f t="shared" si="3"/>
        <v>0</v>
      </c>
      <c r="W39" s="62">
        <f t="shared" si="4"/>
        <v>0</v>
      </c>
    </row>
    <row r="40" spans="2:23">
      <c r="B40" s="133">
        <v>461</v>
      </c>
      <c r="C40" s="133">
        <v>47</v>
      </c>
      <c r="D40" s="134" t="s">
        <v>132</v>
      </c>
      <c r="E40" s="96"/>
      <c r="F40" s="97"/>
      <c r="G40" s="61">
        <f>HLOOKUP('2. Notes and Assumptions'!$C$16,$L$4:$O$187,ROWS($L$4:L40),FALSE)</f>
        <v>80</v>
      </c>
      <c r="H40" s="61">
        <f t="shared" si="0"/>
        <v>80</v>
      </c>
      <c r="I40" s="129">
        <v>1</v>
      </c>
      <c r="J40" s="127">
        <v>6024542.1400000006</v>
      </c>
      <c r="L40" s="127">
        <v>66</v>
      </c>
      <c r="M40" s="127">
        <v>34.086098305848942</v>
      </c>
      <c r="N40" s="127">
        <v>80</v>
      </c>
      <c r="O40" s="127">
        <v>80</v>
      </c>
      <c r="T40" s="62">
        <f t="shared" si="1"/>
        <v>0</v>
      </c>
      <c r="U40" s="62">
        <f t="shared" si="2"/>
        <v>0</v>
      </c>
      <c r="V40" s="62">
        <f t="shared" si="3"/>
        <v>0</v>
      </c>
      <c r="W40" s="62">
        <f t="shared" si="4"/>
        <v>0</v>
      </c>
    </row>
    <row r="41" spans="2:23">
      <c r="B41" s="133">
        <v>463</v>
      </c>
      <c r="C41" s="133">
        <v>47</v>
      </c>
      <c r="D41" s="134" t="s">
        <v>132</v>
      </c>
      <c r="E41" s="96"/>
      <c r="F41" s="97"/>
      <c r="G41" s="61">
        <f>HLOOKUP('2. Notes and Assumptions'!$C$16,$L$4:$O$187,ROWS($L$4:L41),FALSE)</f>
        <v>80</v>
      </c>
      <c r="H41" s="61">
        <f t="shared" si="0"/>
        <v>80</v>
      </c>
      <c r="I41" s="129">
        <v>2</v>
      </c>
      <c r="J41" s="127">
        <v>175516.63999999996</v>
      </c>
      <c r="L41" s="127">
        <v>66</v>
      </c>
      <c r="M41" s="127">
        <v>34.086098305848942</v>
      </c>
      <c r="N41" s="127">
        <v>80</v>
      </c>
      <c r="O41" s="127">
        <v>80</v>
      </c>
      <c r="T41" s="62">
        <f t="shared" si="1"/>
        <v>0</v>
      </c>
      <c r="U41" s="62">
        <f t="shared" si="2"/>
        <v>0</v>
      </c>
      <c r="V41" s="62">
        <f t="shared" si="3"/>
        <v>0</v>
      </c>
      <c r="W41" s="62">
        <f t="shared" si="4"/>
        <v>0</v>
      </c>
    </row>
    <row r="42" spans="2:23">
      <c r="B42" s="133">
        <v>477</v>
      </c>
      <c r="C42" s="133">
        <v>48</v>
      </c>
      <c r="D42" s="134" t="s">
        <v>132</v>
      </c>
      <c r="E42" s="96"/>
      <c r="F42" s="97"/>
      <c r="G42" s="61">
        <f>HLOOKUP('2. Notes and Assumptions'!$C$16,$L$4:$O$187,ROWS($L$4:L42),FALSE)</f>
        <v>60</v>
      </c>
      <c r="H42" s="61">
        <f t="shared" si="0"/>
        <v>60</v>
      </c>
      <c r="I42" s="129">
        <v>4</v>
      </c>
      <c r="J42" s="127">
        <v>1110642</v>
      </c>
      <c r="L42" s="127">
        <v>66</v>
      </c>
      <c r="M42" s="127">
        <v>34.086098305848942</v>
      </c>
      <c r="N42" s="127">
        <v>60</v>
      </c>
      <c r="O42" s="127">
        <v>60</v>
      </c>
      <c r="T42" s="62">
        <f t="shared" si="1"/>
        <v>1110642</v>
      </c>
      <c r="U42" s="62">
        <f t="shared" si="2"/>
        <v>34.086098305848942</v>
      </c>
      <c r="V42" s="62">
        <f t="shared" si="3"/>
        <v>0</v>
      </c>
      <c r="W42" s="62">
        <f t="shared" si="4"/>
        <v>0</v>
      </c>
    </row>
    <row r="43" spans="2:23">
      <c r="B43" s="133">
        <v>479</v>
      </c>
      <c r="C43" s="133">
        <v>48</v>
      </c>
      <c r="D43" s="134" t="s">
        <v>132</v>
      </c>
      <c r="E43" s="96"/>
      <c r="F43" s="97"/>
      <c r="G43" s="61">
        <f>HLOOKUP('2. Notes and Assumptions'!$C$16,$L$4:$O$187,ROWS($L$4:L43),FALSE)</f>
        <v>60</v>
      </c>
      <c r="H43" s="61">
        <f t="shared" si="0"/>
        <v>60</v>
      </c>
      <c r="I43" s="129">
        <v>5</v>
      </c>
      <c r="J43" s="127">
        <v>4614891</v>
      </c>
      <c r="L43" s="127">
        <v>66</v>
      </c>
      <c r="M43" s="127">
        <v>34.086098305848942</v>
      </c>
      <c r="N43" s="127">
        <v>60</v>
      </c>
      <c r="O43" s="127">
        <v>60</v>
      </c>
      <c r="T43" s="62">
        <f t="shared" si="1"/>
        <v>0</v>
      </c>
      <c r="U43" s="62">
        <f t="shared" si="2"/>
        <v>0</v>
      </c>
      <c r="V43" s="62">
        <f t="shared" si="3"/>
        <v>4614891</v>
      </c>
      <c r="W43" s="62">
        <f t="shared" si="4"/>
        <v>34.086098305848942</v>
      </c>
    </row>
    <row r="44" spans="2:23">
      <c r="B44" s="133">
        <v>485</v>
      </c>
      <c r="C44" s="133">
        <v>49</v>
      </c>
      <c r="D44" s="134" t="s">
        <v>132</v>
      </c>
      <c r="E44" s="96"/>
      <c r="F44" s="97"/>
      <c r="G44" s="61">
        <f>HLOOKUP('2. Notes and Assumptions'!$C$16,$L$4:$O$187,ROWS($L$4:L44),FALSE)</f>
        <v>80</v>
      </c>
      <c r="H44" s="61">
        <f t="shared" si="0"/>
        <v>80</v>
      </c>
      <c r="I44" s="129">
        <v>3</v>
      </c>
      <c r="J44" s="127">
        <v>535428.36755518988</v>
      </c>
      <c r="L44" s="127">
        <v>66</v>
      </c>
      <c r="M44" s="127">
        <v>34.086098305848942</v>
      </c>
      <c r="N44" s="127">
        <v>80</v>
      </c>
      <c r="O44" s="127">
        <v>80</v>
      </c>
      <c r="T44" s="62">
        <f t="shared" si="1"/>
        <v>0</v>
      </c>
      <c r="U44" s="62">
        <f t="shared" si="2"/>
        <v>0</v>
      </c>
      <c r="V44" s="62">
        <f t="shared" si="3"/>
        <v>0</v>
      </c>
      <c r="W44" s="62">
        <f t="shared" si="4"/>
        <v>0</v>
      </c>
    </row>
    <row r="45" spans="2:23">
      <c r="B45" s="133">
        <v>487</v>
      </c>
      <c r="C45" s="133">
        <v>49</v>
      </c>
      <c r="D45" s="134" t="s">
        <v>132</v>
      </c>
      <c r="E45" s="96"/>
      <c r="F45" s="97"/>
      <c r="G45" s="61">
        <f>HLOOKUP('2. Notes and Assumptions'!$C$16,$L$4:$O$187,ROWS($L$4:L45),FALSE)</f>
        <v>80</v>
      </c>
      <c r="H45" s="61">
        <f t="shared" si="0"/>
        <v>80</v>
      </c>
      <c r="I45" s="129">
        <v>4</v>
      </c>
      <c r="J45" s="127">
        <v>2348084.0514925742</v>
      </c>
      <c r="L45" s="127">
        <v>66</v>
      </c>
      <c r="M45" s="127">
        <v>34.086098305848942</v>
      </c>
      <c r="N45" s="127">
        <v>80</v>
      </c>
      <c r="O45" s="127">
        <v>80</v>
      </c>
      <c r="T45" s="62">
        <f t="shared" si="1"/>
        <v>2348084.0514925742</v>
      </c>
      <c r="U45" s="62">
        <f t="shared" si="2"/>
        <v>34.086098305848942</v>
      </c>
      <c r="V45" s="62">
        <f t="shared" si="3"/>
        <v>0</v>
      </c>
      <c r="W45" s="62">
        <f t="shared" si="4"/>
        <v>0</v>
      </c>
    </row>
    <row r="46" spans="2:23">
      <c r="B46" s="133">
        <v>489</v>
      </c>
      <c r="C46" s="133">
        <v>49</v>
      </c>
      <c r="D46" s="134" t="s">
        <v>132</v>
      </c>
      <c r="E46" s="96"/>
      <c r="F46" s="97"/>
      <c r="G46" s="61">
        <f>HLOOKUP('2. Notes and Assumptions'!$C$16,$L$4:$O$187,ROWS($L$4:L46),FALSE)</f>
        <v>80</v>
      </c>
      <c r="H46" s="61">
        <f t="shared" si="0"/>
        <v>80</v>
      </c>
      <c r="I46" s="129">
        <v>5</v>
      </c>
      <c r="J46" s="127">
        <v>2414140.5333917825</v>
      </c>
      <c r="L46" s="127">
        <v>66</v>
      </c>
      <c r="M46" s="127">
        <v>34.086098305848942</v>
      </c>
      <c r="N46" s="127">
        <v>80</v>
      </c>
      <c r="O46" s="127">
        <v>80</v>
      </c>
      <c r="T46" s="62">
        <f t="shared" si="1"/>
        <v>0</v>
      </c>
      <c r="U46" s="62">
        <f t="shared" si="2"/>
        <v>0</v>
      </c>
      <c r="V46" s="62">
        <f t="shared" si="3"/>
        <v>2414140.5333917825</v>
      </c>
      <c r="W46" s="62">
        <f t="shared" si="4"/>
        <v>34.086098305848942</v>
      </c>
    </row>
    <row r="47" spans="2:23">
      <c r="B47" s="133">
        <v>491</v>
      </c>
      <c r="C47" s="133">
        <v>50</v>
      </c>
      <c r="D47" s="134" t="s">
        <v>132</v>
      </c>
      <c r="E47" s="96"/>
      <c r="F47" s="97"/>
      <c r="G47" s="61">
        <f>HLOOKUP('2. Notes and Assumptions'!$C$16,$L$4:$O$187,ROWS($L$4:L47),FALSE)</f>
        <v>40</v>
      </c>
      <c r="H47" s="61">
        <f t="shared" si="0"/>
        <v>40</v>
      </c>
      <c r="I47" s="129">
        <v>1</v>
      </c>
      <c r="J47" s="127">
        <v>562930.1100000001</v>
      </c>
      <c r="L47" s="127">
        <v>66</v>
      </c>
      <c r="M47" s="127">
        <v>34.086098305848942</v>
      </c>
      <c r="N47" s="127">
        <v>40</v>
      </c>
      <c r="O47" s="127">
        <v>40</v>
      </c>
      <c r="T47" s="62">
        <f t="shared" si="1"/>
        <v>0</v>
      </c>
      <c r="U47" s="62">
        <f t="shared" si="2"/>
        <v>0</v>
      </c>
      <c r="V47" s="62">
        <f t="shared" si="3"/>
        <v>0</v>
      </c>
      <c r="W47" s="62">
        <f t="shared" si="4"/>
        <v>0</v>
      </c>
    </row>
    <row r="48" spans="2:23">
      <c r="B48" s="133">
        <v>493</v>
      </c>
      <c r="C48" s="133">
        <v>50</v>
      </c>
      <c r="D48" s="134" t="s">
        <v>132</v>
      </c>
      <c r="E48" s="96"/>
      <c r="F48" s="97"/>
      <c r="G48" s="61">
        <f>HLOOKUP('2. Notes and Assumptions'!$C$16,$L$4:$O$187,ROWS($L$4:L48),FALSE)</f>
        <v>40</v>
      </c>
      <c r="H48" s="61">
        <f t="shared" si="0"/>
        <v>40</v>
      </c>
      <c r="I48" s="129">
        <v>2</v>
      </c>
      <c r="J48" s="127">
        <v>2565346.34</v>
      </c>
      <c r="L48" s="127">
        <v>66</v>
      </c>
      <c r="M48" s="127">
        <v>34.086098305848942</v>
      </c>
      <c r="N48" s="127">
        <v>40</v>
      </c>
      <c r="O48" s="127">
        <v>40</v>
      </c>
      <c r="T48" s="62">
        <f t="shared" si="1"/>
        <v>0</v>
      </c>
      <c r="U48" s="62">
        <f t="shared" si="2"/>
        <v>0</v>
      </c>
      <c r="V48" s="62">
        <f t="shared" si="3"/>
        <v>0</v>
      </c>
      <c r="W48" s="62">
        <f t="shared" si="4"/>
        <v>0</v>
      </c>
    </row>
    <row r="49" spans="2:23">
      <c r="B49" s="133">
        <v>495</v>
      </c>
      <c r="C49" s="133">
        <v>50</v>
      </c>
      <c r="D49" s="134" t="s">
        <v>132</v>
      </c>
      <c r="E49" s="96"/>
      <c r="F49" s="97"/>
      <c r="G49" s="61">
        <f>HLOOKUP('2. Notes and Assumptions'!$C$16,$L$4:$O$187,ROWS($L$4:L49),FALSE)</f>
        <v>40</v>
      </c>
      <c r="H49" s="61">
        <f t="shared" si="0"/>
        <v>40</v>
      </c>
      <c r="I49" s="129">
        <v>3</v>
      </c>
      <c r="J49" s="127">
        <v>2010500</v>
      </c>
      <c r="L49" s="127">
        <v>66</v>
      </c>
      <c r="M49" s="127">
        <v>34.086098305848942</v>
      </c>
      <c r="N49" s="127">
        <v>40</v>
      </c>
      <c r="O49" s="127">
        <v>40</v>
      </c>
      <c r="T49" s="62">
        <f t="shared" si="1"/>
        <v>0</v>
      </c>
      <c r="U49" s="62">
        <f t="shared" si="2"/>
        <v>0</v>
      </c>
      <c r="V49" s="62">
        <f t="shared" si="3"/>
        <v>0</v>
      </c>
      <c r="W49" s="62">
        <f t="shared" si="4"/>
        <v>0</v>
      </c>
    </row>
    <row r="50" spans="2:23">
      <c r="B50" s="133">
        <v>503</v>
      </c>
      <c r="C50" s="133">
        <v>51</v>
      </c>
      <c r="D50" s="134" t="s">
        <v>132</v>
      </c>
      <c r="E50" s="96"/>
      <c r="F50" s="97"/>
      <c r="G50" s="61">
        <f>HLOOKUP('2. Notes and Assumptions'!$C$16,$L$4:$O$187,ROWS($L$4:L50),FALSE)</f>
        <v>40</v>
      </c>
      <c r="H50" s="61">
        <f t="shared" si="0"/>
        <v>40</v>
      </c>
      <c r="I50" s="129">
        <v>2</v>
      </c>
      <c r="J50" s="127">
        <v>200000</v>
      </c>
      <c r="L50" s="127">
        <v>66</v>
      </c>
      <c r="M50" s="127">
        <v>34.086098305848942</v>
      </c>
      <c r="N50" s="127">
        <v>40</v>
      </c>
      <c r="O50" s="127">
        <v>40</v>
      </c>
      <c r="T50" s="62">
        <f t="shared" si="1"/>
        <v>0</v>
      </c>
      <c r="U50" s="62">
        <f t="shared" si="2"/>
        <v>0</v>
      </c>
      <c r="V50" s="62">
        <f t="shared" si="3"/>
        <v>0</v>
      </c>
      <c r="W50" s="62">
        <f t="shared" si="4"/>
        <v>0</v>
      </c>
    </row>
    <row r="51" spans="2:23">
      <c r="B51" s="133">
        <v>505</v>
      </c>
      <c r="C51" s="133">
        <v>51</v>
      </c>
      <c r="D51" s="134" t="s">
        <v>132</v>
      </c>
      <c r="E51" s="96"/>
      <c r="F51" s="97"/>
      <c r="G51" s="61">
        <f>HLOOKUP('2. Notes and Assumptions'!$C$16,$L$4:$O$187,ROWS($L$4:L51),FALSE)</f>
        <v>40</v>
      </c>
      <c r="H51" s="61">
        <f t="shared" si="0"/>
        <v>40</v>
      </c>
      <c r="I51" s="129">
        <v>3</v>
      </c>
      <c r="J51" s="127">
        <v>2350581</v>
      </c>
      <c r="L51" s="127">
        <v>66</v>
      </c>
      <c r="M51" s="127">
        <v>34.086098305848942</v>
      </c>
      <c r="N51" s="127">
        <v>40</v>
      </c>
      <c r="O51" s="127">
        <v>40</v>
      </c>
      <c r="T51" s="62">
        <f t="shared" si="1"/>
        <v>0</v>
      </c>
      <c r="U51" s="62">
        <f t="shared" si="2"/>
        <v>0</v>
      </c>
      <c r="V51" s="62">
        <f t="shared" si="3"/>
        <v>0</v>
      </c>
      <c r="W51" s="62">
        <f t="shared" si="4"/>
        <v>0</v>
      </c>
    </row>
    <row r="52" spans="2:23">
      <c r="B52" s="133">
        <v>507</v>
      </c>
      <c r="C52" s="133">
        <v>51</v>
      </c>
      <c r="D52" s="134" t="s">
        <v>132</v>
      </c>
      <c r="E52" s="96"/>
      <c r="F52" s="97"/>
      <c r="G52" s="61">
        <f>HLOOKUP('2. Notes and Assumptions'!$C$16,$L$4:$O$187,ROWS($L$4:L52),FALSE)</f>
        <v>40</v>
      </c>
      <c r="H52" s="61">
        <f t="shared" si="0"/>
        <v>40</v>
      </c>
      <c r="I52" s="129">
        <v>4</v>
      </c>
      <c r="J52" s="127">
        <v>2180214</v>
      </c>
      <c r="L52" s="127">
        <v>66</v>
      </c>
      <c r="M52" s="127">
        <v>34.086098305848942</v>
      </c>
      <c r="N52" s="127">
        <v>40</v>
      </c>
      <c r="O52" s="127">
        <v>40</v>
      </c>
      <c r="T52" s="62">
        <f t="shared" si="1"/>
        <v>2180214</v>
      </c>
      <c r="U52" s="62">
        <f t="shared" si="2"/>
        <v>34.086098305848942</v>
      </c>
      <c r="V52" s="62">
        <f t="shared" si="3"/>
        <v>0</v>
      </c>
      <c r="W52" s="62">
        <f t="shared" si="4"/>
        <v>0</v>
      </c>
    </row>
    <row r="53" spans="2:23">
      <c r="B53" s="133">
        <v>513</v>
      </c>
      <c r="C53" s="133">
        <v>52</v>
      </c>
      <c r="D53" s="134" t="s">
        <v>132</v>
      </c>
      <c r="E53" s="96"/>
      <c r="F53" s="97"/>
      <c r="G53" s="61">
        <f>HLOOKUP('2. Notes and Assumptions'!$C$16,$L$4:$O$187,ROWS($L$4:L53),FALSE)</f>
        <v>40</v>
      </c>
      <c r="H53" s="61">
        <f t="shared" si="0"/>
        <v>40</v>
      </c>
      <c r="I53" s="129">
        <v>2</v>
      </c>
      <c r="J53" s="127">
        <v>200000</v>
      </c>
      <c r="L53" s="127">
        <v>66</v>
      </c>
      <c r="M53" s="127">
        <v>34.086098305848942</v>
      </c>
      <c r="N53" s="127">
        <v>40</v>
      </c>
      <c r="O53" s="127">
        <v>40</v>
      </c>
      <c r="T53" s="62">
        <f t="shared" si="1"/>
        <v>0</v>
      </c>
      <c r="U53" s="62">
        <f t="shared" si="2"/>
        <v>0</v>
      </c>
      <c r="V53" s="62">
        <f t="shared" si="3"/>
        <v>0</v>
      </c>
      <c r="W53" s="62">
        <f t="shared" si="4"/>
        <v>0</v>
      </c>
    </row>
    <row r="54" spans="2:23">
      <c r="B54" s="133">
        <v>515</v>
      </c>
      <c r="C54" s="133">
        <v>52</v>
      </c>
      <c r="D54" s="134" t="s">
        <v>132</v>
      </c>
      <c r="E54" s="96"/>
      <c r="F54" s="97"/>
      <c r="G54" s="61">
        <f>HLOOKUP('2. Notes and Assumptions'!$C$16,$L$4:$O$187,ROWS($L$4:L54),FALSE)</f>
        <v>40</v>
      </c>
      <c r="H54" s="61">
        <f t="shared" si="0"/>
        <v>40</v>
      </c>
      <c r="I54" s="129">
        <v>3</v>
      </c>
      <c r="J54" s="127">
        <v>2473506</v>
      </c>
      <c r="L54" s="127">
        <v>66</v>
      </c>
      <c r="M54" s="127">
        <v>34.086098305848942</v>
      </c>
      <c r="N54" s="127">
        <v>40</v>
      </c>
      <c r="O54" s="127">
        <v>40</v>
      </c>
      <c r="T54" s="62">
        <f t="shared" si="1"/>
        <v>0</v>
      </c>
      <c r="U54" s="62">
        <f t="shared" si="2"/>
        <v>0</v>
      </c>
      <c r="V54" s="62">
        <f t="shared" si="3"/>
        <v>0</v>
      </c>
      <c r="W54" s="62">
        <f t="shared" si="4"/>
        <v>0</v>
      </c>
    </row>
    <row r="55" spans="2:23">
      <c r="B55" s="133">
        <v>517</v>
      </c>
      <c r="C55" s="133">
        <v>52</v>
      </c>
      <c r="D55" s="134" t="s">
        <v>132</v>
      </c>
      <c r="E55" s="96"/>
      <c r="F55" s="97"/>
      <c r="G55" s="61">
        <f>HLOOKUP('2. Notes and Assumptions'!$C$16,$L$4:$O$187,ROWS($L$4:L55),FALSE)</f>
        <v>40</v>
      </c>
      <c r="H55" s="61">
        <f t="shared" si="0"/>
        <v>40</v>
      </c>
      <c r="I55" s="129">
        <v>4</v>
      </c>
      <c r="J55" s="127">
        <v>1388303</v>
      </c>
      <c r="L55" s="127">
        <v>66</v>
      </c>
      <c r="M55" s="127">
        <v>34.086098305848942</v>
      </c>
      <c r="N55" s="127">
        <v>40</v>
      </c>
      <c r="O55" s="127">
        <v>40</v>
      </c>
      <c r="T55" s="62">
        <f t="shared" si="1"/>
        <v>1388303</v>
      </c>
      <c r="U55" s="62">
        <f t="shared" si="2"/>
        <v>34.086098305848942</v>
      </c>
      <c r="V55" s="62">
        <f t="shared" si="3"/>
        <v>0</v>
      </c>
      <c r="W55" s="62">
        <f t="shared" si="4"/>
        <v>0</v>
      </c>
    </row>
    <row r="56" spans="2:23">
      <c r="B56" s="133">
        <v>525</v>
      </c>
      <c r="C56" s="133">
        <v>53</v>
      </c>
      <c r="D56" s="134" t="s">
        <v>132</v>
      </c>
      <c r="E56" s="96"/>
      <c r="F56" s="97"/>
      <c r="G56" s="61">
        <f>HLOOKUP('2. Notes and Assumptions'!$C$16,$L$4:$O$187,ROWS($L$4:L56),FALSE)</f>
        <v>40</v>
      </c>
      <c r="H56" s="61">
        <f t="shared" si="0"/>
        <v>40</v>
      </c>
      <c r="I56" s="129">
        <v>3</v>
      </c>
      <c r="J56" s="127">
        <v>185668</v>
      </c>
      <c r="L56" s="127">
        <v>66</v>
      </c>
      <c r="M56" s="127">
        <v>34.086098305848942</v>
      </c>
      <c r="N56" s="127">
        <v>40</v>
      </c>
      <c r="O56" s="127">
        <v>40</v>
      </c>
      <c r="T56" s="62">
        <f t="shared" si="1"/>
        <v>0</v>
      </c>
      <c r="U56" s="62">
        <f t="shared" si="2"/>
        <v>0</v>
      </c>
      <c r="V56" s="62">
        <f t="shared" si="3"/>
        <v>0</v>
      </c>
      <c r="W56" s="62">
        <f t="shared" si="4"/>
        <v>0</v>
      </c>
    </row>
    <row r="57" spans="2:23">
      <c r="B57" s="133">
        <v>527</v>
      </c>
      <c r="C57" s="133">
        <v>53</v>
      </c>
      <c r="D57" s="134" t="s">
        <v>132</v>
      </c>
      <c r="E57" s="96"/>
      <c r="F57" s="97"/>
      <c r="G57" s="61">
        <f>HLOOKUP('2. Notes and Assumptions'!$C$16,$L$4:$O$187,ROWS($L$4:L57),FALSE)</f>
        <v>40</v>
      </c>
      <c r="H57" s="61">
        <f t="shared" si="0"/>
        <v>40</v>
      </c>
      <c r="I57" s="129">
        <v>4</v>
      </c>
      <c r="J57" s="127">
        <v>2110220</v>
      </c>
      <c r="L57" s="127">
        <v>66</v>
      </c>
      <c r="M57" s="127">
        <v>34.086098305848942</v>
      </c>
      <c r="N57" s="127">
        <v>40</v>
      </c>
      <c r="O57" s="127">
        <v>40</v>
      </c>
      <c r="T57" s="62">
        <f t="shared" si="1"/>
        <v>2110220</v>
      </c>
      <c r="U57" s="62">
        <f t="shared" si="2"/>
        <v>34.086098305848942</v>
      </c>
      <c r="V57" s="62">
        <f t="shared" si="3"/>
        <v>0</v>
      </c>
      <c r="W57" s="62">
        <f t="shared" si="4"/>
        <v>0</v>
      </c>
    </row>
    <row r="58" spans="2:23">
      <c r="B58" s="133">
        <v>529</v>
      </c>
      <c r="C58" s="133">
        <v>53</v>
      </c>
      <c r="D58" s="134" t="s">
        <v>132</v>
      </c>
      <c r="E58" s="96"/>
      <c r="F58" s="97"/>
      <c r="G58" s="61">
        <f>HLOOKUP('2. Notes and Assumptions'!$C$16,$L$4:$O$187,ROWS($L$4:L58),FALSE)</f>
        <v>40</v>
      </c>
      <c r="H58" s="61">
        <f t="shared" si="0"/>
        <v>40</v>
      </c>
      <c r="I58" s="129">
        <v>5</v>
      </c>
      <c r="J58" s="127">
        <v>1485909</v>
      </c>
      <c r="L58" s="127">
        <v>66</v>
      </c>
      <c r="M58" s="127">
        <v>34.086098305848942</v>
      </c>
      <c r="N58" s="127">
        <v>40</v>
      </c>
      <c r="O58" s="127">
        <v>40</v>
      </c>
      <c r="T58" s="62">
        <f t="shared" si="1"/>
        <v>0</v>
      </c>
      <c r="U58" s="62">
        <f t="shared" si="2"/>
        <v>0</v>
      </c>
      <c r="V58" s="62">
        <f t="shared" si="3"/>
        <v>1485909</v>
      </c>
      <c r="W58" s="62">
        <f t="shared" si="4"/>
        <v>34.086098305848942</v>
      </c>
    </row>
    <row r="59" spans="2:23">
      <c r="B59" s="133">
        <v>531</v>
      </c>
      <c r="C59" s="133">
        <v>54</v>
      </c>
      <c r="D59" s="134" t="s">
        <v>132</v>
      </c>
      <c r="E59" s="96"/>
      <c r="F59" s="97"/>
      <c r="G59" s="61">
        <f>HLOOKUP('2. Notes and Assumptions'!$C$16,$L$4:$O$187,ROWS($L$4:L59),FALSE)</f>
        <v>80</v>
      </c>
      <c r="H59" s="61">
        <f t="shared" si="0"/>
        <v>80</v>
      </c>
      <c r="I59" s="129">
        <v>1</v>
      </c>
      <c r="J59" s="127">
        <v>1005028.24</v>
      </c>
      <c r="L59" s="127">
        <v>66</v>
      </c>
      <c r="M59" s="127">
        <v>34.086098305848942</v>
      </c>
      <c r="N59" s="127">
        <v>80</v>
      </c>
      <c r="O59" s="127">
        <v>80</v>
      </c>
      <c r="T59" s="62">
        <f t="shared" si="1"/>
        <v>0</v>
      </c>
      <c r="U59" s="62">
        <f t="shared" si="2"/>
        <v>0</v>
      </c>
      <c r="V59" s="62">
        <f t="shared" si="3"/>
        <v>0</v>
      </c>
      <c r="W59" s="62">
        <f t="shared" si="4"/>
        <v>0</v>
      </c>
    </row>
    <row r="60" spans="2:23">
      <c r="B60" s="133">
        <v>533</v>
      </c>
      <c r="C60" s="133">
        <v>54</v>
      </c>
      <c r="D60" s="134" t="s">
        <v>132</v>
      </c>
      <c r="E60" s="96"/>
      <c r="F60" s="97"/>
      <c r="G60" s="61">
        <f>HLOOKUP('2. Notes and Assumptions'!$C$16,$L$4:$O$187,ROWS($L$4:L60),FALSE)</f>
        <v>80</v>
      </c>
      <c r="H60" s="61">
        <f t="shared" si="0"/>
        <v>80</v>
      </c>
      <c r="I60" s="129">
        <v>2</v>
      </c>
      <c r="J60" s="127">
        <v>2020560.47</v>
      </c>
      <c r="L60" s="127">
        <v>66</v>
      </c>
      <c r="M60" s="127">
        <v>34.086098305848942</v>
      </c>
      <c r="N60" s="127">
        <v>80</v>
      </c>
      <c r="O60" s="127">
        <v>80</v>
      </c>
      <c r="T60" s="62">
        <f t="shared" si="1"/>
        <v>0</v>
      </c>
      <c r="U60" s="62">
        <f t="shared" si="2"/>
        <v>0</v>
      </c>
      <c r="V60" s="62">
        <f t="shared" si="3"/>
        <v>0</v>
      </c>
      <c r="W60" s="62">
        <f t="shared" si="4"/>
        <v>0</v>
      </c>
    </row>
    <row r="61" spans="2:23">
      <c r="B61" s="133">
        <v>535</v>
      </c>
      <c r="C61" s="133">
        <v>54</v>
      </c>
      <c r="D61" s="134" t="s">
        <v>132</v>
      </c>
      <c r="E61" s="96"/>
      <c r="F61" s="97"/>
      <c r="G61" s="61">
        <f>HLOOKUP('2. Notes and Assumptions'!$C$16,$L$4:$O$187,ROWS($L$4:L61),FALSE)</f>
        <v>80</v>
      </c>
      <c r="H61" s="61">
        <f t="shared" si="0"/>
        <v>80</v>
      </c>
      <c r="I61" s="129">
        <v>3</v>
      </c>
      <c r="J61" s="127">
        <v>330783</v>
      </c>
      <c r="L61" s="127">
        <v>66</v>
      </c>
      <c r="M61" s="127">
        <v>34.086098305848942</v>
      </c>
      <c r="N61" s="127">
        <v>80</v>
      </c>
      <c r="O61" s="127">
        <v>80</v>
      </c>
      <c r="T61" s="62">
        <f t="shared" si="1"/>
        <v>0</v>
      </c>
      <c r="U61" s="62">
        <f t="shared" si="2"/>
        <v>0</v>
      </c>
      <c r="V61" s="62">
        <f t="shared" si="3"/>
        <v>0</v>
      </c>
      <c r="W61" s="62">
        <f t="shared" si="4"/>
        <v>0</v>
      </c>
    </row>
    <row r="62" spans="2:23">
      <c r="B62" s="133">
        <v>541</v>
      </c>
      <c r="C62" s="133">
        <v>55</v>
      </c>
      <c r="D62" s="134" t="s">
        <v>132</v>
      </c>
      <c r="E62" s="96"/>
      <c r="F62" s="97"/>
      <c r="G62" s="61">
        <f>HLOOKUP('2. Notes and Assumptions'!$C$16,$L$4:$O$187,ROWS($L$4:L62),FALSE)</f>
        <v>30</v>
      </c>
      <c r="H62" s="61">
        <f t="shared" si="0"/>
        <v>30</v>
      </c>
      <c r="I62" s="129">
        <v>1</v>
      </c>
      <c r="J62" s="127">
        <v>3001389.0500000003</v>
      </c>
      <c r="L62" s="127">
        <v>66</v>
      </c>
      <c r="M62" s="127">
        <v>34.086098305848942</v>
      </c>
      <c r="N62" s="127">
        <v>30</v>
      </c>
      <c r="O62" s="127">
        <v>30</v>
      </c>
      <c r="T62" s="62">
        <f t="shared" si="1"/>
        <v>0</v>
      </c>
      <c r="U62" s="62">
        <f t="shared" si="2"/>
        <v>0</v>
      </c>
      <c r="V62" s="62">
        <f t="shared" si="3"/>
        <v>0</v>
      </c>
      <c r="W62" s="62">
        <f t="shared" si="4"/>
        <v>0</v>
      </c>
    </row>
    <row r="63" spans="2:23">
      <c r="B63" s="133">
        <v>543</v>
      </c>
      <c r="C63" s="133">
        <v>55</v>
      </c>
      <c r="D63" s="134" t="s">
        <v>132</v>
      </c>
      <c r="E63" s="96"/>
      <c r="F63" s="97"/>
      <c r="G63" s="61">
        <f>HLOOKUP('2. Notes and Assumptions'!$C$16,$L$4:$O$187,ROWS($L$4:L63),FALSE)</f>
        <v>30</v>
      </c>
      <c r="H63" s="61">
        <f t="shared" si="0"/>
        <v>30</v>
      </c>
      <c r="I63" s="129">
        <v>2</v>
      </c>
      <c r="J63" s="127">
        <v>80470.950000000012</v>
      </c>
      <c r="L63" s="127">
        <v>66</v>
      </c>
      <c r="M63" s="127">
        <v>34.086098305848942</v>
      </c>
      <c r="N63" s="127">
        <v>30</v>
      </c>
      <c r="O63" s="127">
        <v>30</v>
      </c>
      <c r="T63" s="62">
        <f t="shared" si="1"/>
        <v>0</v>
      </c>
      <c r="U63" s="62">
        <f t="shared" si="2"/>
        <v>0</v>
      </c>
      <c r="V63" s="62">
        <f t="shared" si="3"/>
        <v>0</v>
      </c>
      <c r="W63" s="62">
        <f t="shared" si="4"/>
        <v>0</v>
      </c>
    </row>
    <row r="64" spans="2:23">
      <c r="B64" s="133">
        <v>551</v>
      </c>
      <c r="C64" s="133">
        <v>56</v>
      </c>
      <c r="D64" s="134" t="s">
        <v>132</v>
      </c>
      <c r="E64" s="96"/>
      <c r="F64" s="97"/>
      <c r="G64" s="61">
        <f>HLOOKUP('2. Notes and Assumptions'!$C$16,$L$4:$O$187,ROWS($L$4:L64),FALSE)</f>
        <v>50</v>
      </c>
      <c r="H64" s="61">
        <f t="shared" si="0"/>
        <v>50</v>
      </c>
      <c r="I64" s="129">
        <v>1</v>
      </c>
      <c r="J64" s="127">
        <v>320823.70999999996</v>
      </c>
      <c r="L64" s="127">
        <v>66</v>
      </c>
      <c r="M64" s="127">
        <v>34.086098305848942</v>
      </c>
      <c r="N64" s="127">
        <v>50</v>
      </c>
      <c r="O64" s="127">
        <v>50</v>
      </c>
      <c r="T64" s="62">
        <f t="shared" si="1"/>
        <v>0</v>
      </c>
      <c r="U64" s="62">
        <f t="shared" si="2"/>
        <v>0</v>
      </c>
      <c r="V64" s="62">
        <f t="shared" si="3"/>
        <v>0</v>
      </c>
      <c r="W64" s="62">
        <f t="shared" si="4"/>
        <v>0</v>
      </c>
    </row>
    <row r="65" spans="2:23">
      <c r="B65" s="133">
        <v>553</v>
      </c>
      <c r="C65" s="133">
        <v>56</v>
      </c>
      <c r="D65" s="134" t="s">
        <v>132</v>
      </c>
      <c r="E65" s="96"/>
      <c r="F65" s="97"/>
      <c r="G65" s="61">
        <f>HLOOKUP('2. Notes and Assumptions'!$C$16,$L$4:$O$187,ROWS($L$4:L65),FALSE)</f>
        <v>50</v>
      </c>
      <c r="H65" s="61">
        <f t="shared" si="0"/>
        <v>50</v>
      </c>
      <c r="I65" s="129">
        <v>2</v>
      </c>
      <c r="J65" s="127">
        <v>1792617.98</v>
      </c>
      <c r="L65" s="127">
        <v>66</v>
      </c>
      <c r="M65" s="127">
        <v>34.086098305848942</v>
      </c>
      <c r="N65" s="127">
        <v>50</v>
      </c>
      <c r="O65" s="127">
        <v>50</v>
      </c>
      <c r="T65" s="62">
        <f t="shared" si="1"/>
        <v>0</v>
      </c>
      <c r="U65" s="62">
        <f t="shared" si="2"/>
        <v>0</v>
      </c>
      <c r="V65" s="62">
        <f t="shared" si="3"/>
        <v>0</v>
      </c>
      <c r="W65" s="62">
        <f t="shared" si="4"/>
        <v>0</v>
      </c>
    </row>
    <row r="66" spans="2:23">
      <c r="B66" s="133">
        <v>555</v>
      </c>
      <c r="C66" s="133">
        <v>56</v>
      </c>
      <c r="D66" s="134" t="s">
        <v>132</v>
      </c>
      <c r="E66" s="96"/>
      <c r="F66" s="97"/>
      <c r="G66" s="61">
        <f>HLOOKUP('2. Notes and Assumptions'!$C$16,$L$4:$O$187,ROWS($L$4:L66),FALSE)</f>
        <v>50</v>
      </c>
      <c r="H66" s="61">
        <f t="shared" si="0"/>
        <v>50</v>
      </c>
      <c r="I66" s="129">
        <v>3</v>
      </c>
      <c r="J66" s="127">
        <v>50000</v>
      </c>
      <c r="L66" s="127">
        <v>66</v>
      </c>
      <c r="M66" s="127">
        <v>34.086098305848942</v>
      </c>
      <c r="N66" s="127">
        <v>50</v>
      </c>
      <c r="O66" s="127">
        <v>50</v>
      </c>
      <c r="T66" s="62">
        <f t="shared" si="1"/>
        <v>0</v>
      </c>
      <c r="U66" s="62">
        <f t="shared" si="2"/>
        <v>0</v>
      </c>
      <c r="V66" s="62">
        <f t="shared" si="3"/>
        <v>0</v>
      </c>
      <c r="W66" s="62">
        <f t="shared" si="4"/>
        <v>0</v>
      </c>
    </row>
    <row r="67" spans="2:23">
      <c r="B67" s="133">
        <v>567</v>
      </c>
      <c r="C67" s="133">
        <v>57</v>
      </c>
      <c r="D67" s="134" t="s">
        <v>132</v>
      </c>
      <c r="E67" s="96"/>
      <c r="F67" s="97"/>
      <c r="G67" s="61">
        <f>HLOOKUP('2. Notes and Assumptions'!$C$16,$L$4:$O$187,ROWS($L$4:L67),FALSE)</f>
        <v>40</v>
      </c>
      <c r="H67" s="61">
        <f t="shared" si="0"/>
        <v>40</v>
      </c>
      <c r="I67" s="129">
        <v>4</v>
      </c>
      <c r="J67" s="127">
        <v>277661</v>
      </c>
      <c r="L67" s="127">
        <v>66</v>
      </c>
      <c r="M67" s="127">
        <v>34.086098305848942</v>
      </c>
      <c r="N67" s="127">
        <v>40</v>
      </c>
      <c r="O67" s="127">
        <v>40</v>
      </c>
      <c r="T67" s="62">
        <f t="shared" si="1"/>
        <v>277661</v>
      </c>
      <c r="U67" s="62">
        <f t="shared" si="2"/>
        <v>34.086098305848942</v>
      </c>
      <c r="V67" s="62">
        <f t="shared" si="3"/>
        <v>0</v>
      </c>
      <c r="W67" s="62">
        <f t="shared" si="4"/>
        <v>0</v>
      </c>
    </row>
    <row r="68" spans="2:23">
      <c r="B68" s="133">
        <v>569</v>
      </c>
      <c r="C68" s="133">
        <v>57</v>
      </c>
      <c r="D68" s="134" t="s">
        <v>132</v>
      </c>
      <c r="E68" s="96"/>
      <c r="F68" s="97"/>
      <c r="G68" s="61">
        <f>HLOOKUP('2. Notes and Assumptions'!$C$16,$L$4:$O$187,ROWS($L$4:L68),FALSE)</f>
        <v>40</v>
      </c>
      <c r="H68" s="61">
        <f t="shared" si="0"/>
        <v>40</v>
      </c>
      <c r="I68" s="129">
        <v>5</v>
      </c>
      <c r="J68" s="127">
        <v>1857386</v>
      </c>
      <c r="L68" s="127">
        <v>66</v>
      </c>
      <c r="M68" s="127">
        <v>34.086098305848942</v>
      </c>
      <c r="N68" s="127">
        <v>40</v>
      </c>
      <c r="O68" s="127">
        <v>40</v>
      </c>
      <c r="T68" s="62">
        <f t="shared" si="1"/>
        <v>0</v>
      </c>
      <c r="U68" s="62">
        <f t="shared" si="2"/>
        <v>0</v>
      </c>
      <c r="V68" s="62">
        <f t="shared" si="3"/>
        <v>1857386</v>
      </c>
      <c r="W68" s="62">
        <f t="shared" si="4"/>
        <v>34.086098305848942</v>
      </c>
    </row>
    <row r="69" spans="2:23">
      <c r="B69" s="133">
        <v>571</v>
      </c>
      <c r="C69" s="133">
        <v>58</v>
      </c>
      <c r="D69" s="134" t="s">
        <v>132</v>
      </c>
      <c r="E69" s="96"/>
      <c r="F69" s="97"/>
      <c r="G69" s="61">
        <f>HLOOKUP('2. Notes and Assumptions'!$C$16,$L$4:$O$187,ROWS($L$4:L69),FALSE)</f>
        <v>60</v>
      </c>
      <c r="H69" s="61">
        <f t="shared" si="0"/>
        <v>60</v>
      </c>
      <c r="I69" s="129">
        <v>1</v>
      </c>
      <c r="J69" s="127">
        <v>127041.21999999999</v>
      </c>
      <c r="L69" s="127">
        <v>66</v>
      </c>
      <c r="M69" s="127">
        <v>34.086098305848942</v>
      </c>
      <c r="N69" s="127">
        <v>60</v>
      </c>
      <c r="O69" s="127">
        <v>60</v>
      </c>
      <c r="T69" s="62">
        <f t="shared" si="1"/>
        <v>0</v>
      </c>
      <c r="U69" s="62">
        <f t="shared" si="2"/>
        <v>0</v>
      </c>
      <c r="V69" s="62">
        <f t="shared" si="3"/>
        <v>0</v>
      </c>
      <c r="W69" s="62">
        <f t="shared" si="4"/>
        <v>0</v>
      </c>
    </row>
    <row r="70" spans="2:23">
      <c r="B70" s="133">
        <v>573</v>
      </c>
      <c r="C70" s="133">
        <v>58</v>
      </c>
      <c r="D70" s="134" t="s">
        <v>132</v>
      </c>
      <c r="E70" s="96"/>
      <c r="F70" s="97"/>
      <c r="G70" s="61">
        <f>HLOOKUP('2. Notes and Assumptions'!$C$16,$L$4:$O$187,ROWS($L$4:L70),FALSE)</f>
        <v>60</v>
      </c>
      <c r="H70" s="61">
        <f t="shared" ref="H70:H133" si="5">G70</f>
        <v>60</v>
      </c>
      <c r="I70" s="129">
        <v>2</v>
      </c>
      <c r="J70" s="127">
        <v>490651.62</v>
      </c>
      <c r="L70" s="127">
        <v>66</v>
      </c>
      <c r="M70" s="127">
        <v>34.086098305848942</v>
      </c>
      <c r="N70" s="127">
        <v>60</v>
      </c>
      <c r="O70" s="127">
        <v>60</v>
      </c>
      <c r="T70" s="62">
        <f t="shared" ref="T70:T133" si="6">IF($I70=4,J70,0)</f>
        <v>0</v>
      </c>
      <c r="U70" s="62">
        <f t="shared" ref="U70:U133" si="7">IF($I70=4,M70,0)</f>
        <v>0</v>
      </c>
      <c r="V70" s="62">
        <f t="shared" ref="V70:V133" si="8">IF($I70=5,J70,0)</f>
        <v>0</v>
      </c>
      <c r="W70" s="62">
        <f t="shared" ref="W70:W133" si="9">IF($I70=5,M70,0)</f>
        <v>0</v>
      </c>
    </row>
    <row r="71" spans="2:23">
      <c r="B71" s="133">
        <v>575</v>
      </c>
      <c r="C71" s="133">
        <v>58</v>
      </c>
      <c r="D71" s="134" t="s">
        <v>132</v>
      </c>
      <c r="E71" s="96"/>
      <c r="F71" s="97"/>
      <c r="G71" s="61">
        <f>HLOOKUP('2. Notes and Assumptions'!$C$16,$L$4:$O$187,ROWS($L$4:L71),FALSE)</f>
        <v>60</v>
      </c>
      <c r="H71" s="61">
        <f t="shared" si="5"/>
        <v>60</v>
      </c>
      <c r="I71" s="129">
        <v>3</v>
      </c>
      <c r="J71" s="127">
        <v>432101</v>
      </c>
      <c r="L71" s="127">
        <v>66</v>
      </c>
      <c r="M71" s="127">
        <v>34.086098305848942</v>
      </c>
      <c r="N71" s="127">
        <v>60</v>
      </c>
      <c r="O71" s="127">
        <v>60</v>
      </c>
      <c r="T71" s="62">
        <f t="shared" si="6"/>
        <v>0</v>
      </c>
      <c r="U71" s="62">
        <f t="shared" si="7"/>
        <v>0</v>
      </c>
      <c r="V71" s="62">
        <f t="shared" si="8"/>
        <v>0</v>
      </c>
      <c r="W71" s="62">
        <f t="shared" si="9"/>
        <v>0</v>
      </c>
    </row>
    <row r="72" spans="2:23">
      <c r="B72" s="133">
        <v>577</v>
      </c>
      <c r="C72" s="133">
        <v>58</v>
      </c>
      <c r="D72" s="134" t="s">
        <v>132</v>
      </c>
      <c r="E72" s="96"/>
      <c r="F72" s="97"/>
      <c r="G72" s="61">
        <f>HLOOKUP('2. Notes and Assumptions'!$C$16,$L$4:$O$187,ROWS($L$4:L72),FALSE)</f>
        <v>60</v>
      </c>
      <c r="H72" s="61">
        <f t="shared" si="5"/>
        <v>60</v>
      </c>
      <c r="I72" s="129">
        <v>4</v>
      </c>
      <c r="J72" s="127">
        <v>444257</v>
      </c>
      <c r="L72" s="127">
        <v>66</v>
      </c>
      <c r="M72" s="127">
        <v>34.086098305848942</v>
      </c>
      <c r="N72" s="127">
        <v>60</v>
      </c>
      <c r="O72" s="127">
        <v>60</v>
      </c>
      <c r="T72" s="62">
        <f t="shared" si="6"/>
        <v>444257</v>
      </c>
      <c r="U72" s="62">
        <f t="shared" si="7"/>
        <v>34.086098305848942</v>
      </c>
      <c r="V72" s="62">
        <f t="shared" si="8"/>
        <v>0</v>
      </c>
      <c r="W72" s="62">
        <f t="shared" si="9"/>
        <v>0</v>
      </c>
    </row>
    <row r="73" spans="2:23">
      <c r="B73" s="133">
        <v>579</v>
      </c>
      <c r="C73" s="133">
        <v>58</v>
      </c>
      <c r="D73" s="134" t="s">
        <v>132</v>
      </c>
      <c r="E73" s="96"/>
      <c r="F73" s="97"/>
      <c r="G73" s="61">
        <f>HLOOKUP('2. Notes and Assumptions'!$C$16,$L$4:$O$187,ROWS($L$4:L73),FALSE)</f>
        <v>60</v>
      </c>
      <c r="H73" s="61">
        <f t="shared" si="5"/>
        <v>60</v>
      </c>
      <c r="I73" s="129">
        <v>5</v>
      </c>
      <c r="J73" s="127">
        <v>457203</v>
      </c>
      <c r="L73" s="127">
        <v>66</v>
      </c>
      <c r="M73" s="127">
        <v>34.086098305848942</v>
      </c>
      <c r="N73" s="127">
        <v>60</v>
      </c>
      <c r="O73" s="127">
        <v>60</v>
      </c>
      <c r="T73" s="62">
        <f t="shared" si="6"/>
        <v>0</v>
      </c>
      <c r="U73" s="62">
        <f t="shared" si="7"/>
        <v>0</v>
      </c>
      <c r="V73" s="62">
        <f t="shared" si="8"/>
        <v>457203</v>
      </c>
      <c r="W73" s="62">
        <f t="shared" si="9"/>
        <v>34.086098305848942</v>
      </c>
    </row>
    <row r="74" spans="2:23">
      <c r="B74" s="133">
        <v>581</v>
      </c>
      <c r="C74" s="133">
        <v>59</v>
      </c>
      <c r="D74" s="134" t="s">
        <v>132</v>
      </c>
      <c r="E74" s="96"/>
      <c r="F74" s="97"/>
      <c r="G74" s="61">
        <f>HLOOKUP('2. Notes and Assumptions'!$C$16,$L$4:$O$187,ROWS($L$4:L74),FALSE)</f>
        <v>80</v>
      </c>
      <c r="H74" s="61">
        <f t="shared" si="5"/>
        <v>80</v>
      </c>
      <c r="I74" s="129">
        <v>1</v>
      </c>
      <c r="J74" s="127">
        <v>327438.61999999994</v>
      </c>
      <c r="L74" s="127">
        <v>66</v>
      </c>
      <c r="M74" s="127">
        <v>34.086098305848942</v>
      </c>
      <c r="N74" s="127">
        <v>80</v>
      </c>
      <c r="O74" s="127">
        <v>80</v>
      </c>
      <c r="T74" s="62">
        <f t="shared" si="6"/>
        <v>0</v>
      </c>
      <c r="U74" s="62">
        <f t="shared" si="7"/>
        <v>0</v>
      </c>
      <c r="V74" s="62">
        <f t="shared" si="8"/>
        <v>0</v>
      </c>
      <c r="W74" s="62">
        <f t="shared" si="9"/>
        <v>0</v>
      </c>
    </row>
    <row r="75" spans="2:23">
      <c r="B75" s="133">
        <v>583</v>
      </c>
      <c r="C75" s="133">
        <v>59</v>
      </c>
      <c r="D75" s="134" t="s">
        <v>132</v>
      </c>
      <c r="E75" s="96"/>
      <c r="F75" s="97"/>
      <c r="G75" s="61">
        <f>HLOOKUP('2. Notes and Assumptions'!$C$16,$L$4:$O$187,ROWS($L$4:L75),FALSE)</f>
        <v>80</v>
      </c>
      <c r="H75" s="61">
        <f t="shared" si="5"/>
        <v>80</v>
      </c>
      <c r="I75" s="129">
        <v>2</v>
      </c>
      <c r="J75" s="127">
        <v>1593640.54</v>
      </c>
      <c r="L75" s="127">
        <v>66</v>
      </c>
      <c r="M75" s="127">
        <v>34.086098305848942</v>
      </c>
      <c r="N75" s="127">
        <v>80</v>
      </c>
      <c r="O75" s="127">
        <v>80</v>
      </c>
      <c r="T75" s="62">
        <f t="shared" si="6"/>
        <v>0</v>
      </c>
      <c r="U75" s="62">
        <f t="shared" si="7"/>
        <v>0</v>
      </c>
      <c r="V75" s="62">
        <f t="shared" si="8"/>
        <v>0</v>
      </c>
      <c r="W75" s="62">
        <f t="shared" si="9"/>
        <v>0</v>
      </c>
    </row>
    <row r="76" spans="2:23">
      <c r="B76" s="133">
        <v>595</v>
      </c>
      <c r="C76" s="133">
        <v>60</v>
      </c>
      <c r="D76" s="134" t="s">
        <v>132</v>
      </c>
      <c r="E76" s="96"/>
      <c r="F76" s="97"/>
      <c r="G76" s="61">
        <f>HLOOKUP('2. Notes and Assumptions'!$C$16,$L$4:$O$187,ROWS($L$4:L76),FALSE)</f>
        <v>60</v>
      </c>
      <c r="H76" s="61">
        <f t="shared" si="5"/>
        <v>60</v>
      </c>
      <c r="I76" s="129">
        <v>3</v>
      </c>
      <c r="J76" s="127">
        <v>108025</v>
      </c>
      <c r="L76" s="127">
        <v>66</v>
      </c>
      <c r="M76" s="127">
        <v>34.086098305848942</v>
      </c>
      <c r="N76" s="127">
        <v>60</v>
      </c>
      <c r="O76" s="127">
        <v>60</v>
      </c>
      <c r="T76" s="62">
        <f t="shared" si="6"/>
        <v>0</v>
      </c>
      <c r="U76" s="62">
        <f t="shared" si="7"/>
        <v>0</v>
      </c>
      <c r="V76" s="62">
        <f t="shared" si="8"/>
        <v>0</v>
      </c>
      <c r="W76" s="62">
        <f t="shared" si="9"/>
        <v>0</v>
      </c>
    </row>
    <row r="77" spans="2:23">
      <c r="B77" s="133">
        <v>597</v>
      </c>
      <c r="C77" s="133">
        <v>60</v>
      </c>
      <c r="D77" s="134" t="s">
        <v>132</v>
      </c>
      <c r="E77" s="96"/>
      <c r="F77" s="97"/>
      <c r="G77" s="61">
        <f>HLOOKUP('2. Notes and Assumptions'!$C$16,$L$4:$O$187,ROWS($L$4:L77),FALSE)</f>
        <v>60</v>
      </c>
      <c r="H77" s="61">
        <f t="shared" si="5"/>
        <v>60</v>
      </c>
      <c r="I77" s="129">
        <v>4</v>
      </c>
      <c r="J77" s="127">
        <v>1147332</v>
      </c>
      <c r="L77" s="127">
        <v>66</v>
      </c>
      <c r="M77" s="127">
        <v>34.086098305848942</v>
      </c>
      <c r="N77" s="127">
        <v>60</v>
      </c>
      <c r="O77" s="127">
        <v>60</v>
      </c>
      <c r="T77" s="62">
        <f t="shared" si="6"/>
        <v>1147332</v>
      </c>
      <c r="U77" s="62">
        <f t="shared" si="7"/>
        <v>34.086098305848942</v>
      </c>
      <c r="V77" s="62">
        <f t="shared" si="8"/>
        <v>0</v>
      </c>
      <c r="W77" s="62">
        <f t="shared" si="9"/>
        <v>0</v>
      </c>
    </row>
    <row r="78" spans="2:23">
      <c r="B78" s="133">
        <v>607</v>
      </c>
      <c r="C78" s="133">
        <v>61</v>
      </c>
      <c r="D78" s="134" t="s">
        <v>132</v>
      </c>
      <c r="E78" s="96"/>
      <c r="F78" s="97"/>
      <c r="G78" s="61">
        <f>HLOOKUP('2. Notes and Assumptions'!$C$16,$L$4:$O$187,ROWS($L$4:L78),FALSE)</f>
        <v>40</v>
      </c>
      <c r="H78" s="61">
        <f t="shared" si="5"/>
        <v>40</v>
      </c>
      <c r="I78" s="129">
        <v>4</v>
      </c>
      <c r="J78" s="127">
        <v>111064</v>
      </c>
      <c r="L78" s="127">
        <v>66</v>
      </c>
      <c r="M78" s="127">
        <v>34.086098305848942</v>
      </c>
      <c r="N78" s="127">
        <v>40</v>
      </c>
      <c r="O78" s="127">
        <v>40</v>
      </c>
      <c r="T78" s="62">
        <f t="shared" si="6"/>
        <v>111064</v>
      </c>
      <c r="U78" s="62">
        <f t="shared" si="7"/>
        <v>34.086098305848942</v>
      </c>
      <c r="V78" s="62">
        <f t="shared" si="8"/>
        <v>0</v>
      </c>
      <c r="W78" s="62">
        <f t="shared" si="9"/>
        <v>0</v>
      </c>
    </row>
    <row r="79" spans="2:23">
      <c r="B79" s="133">
        <v>609</v>
      </c>
      <c r="C79" s="133">
        <v>61</v>
      </c>
      <c r="D79" s="134" t="s">
        <v>132</v>
      </c>
      <c r="E79" s="96"/>
      <c r="F79" s="97"/>
      <c r="G79" s="61">
        <f>HLOOKUP('2. Notes and Assumptions'!$C$16,$L$4:$O$187,ROWS($L$4:L79),FALSE)</f>
        <v>40</v>
      </c>
      <c r="H79" s="61">
        <f t="shared" si="5"/>
        <v>40</v>
      </c>
      <c r="I79" s="129">
        <v>5</v>
      </c>
      <c r="J79" s="127">
        <v>1041565</v>
      </c>
      <c r="L79" s="127">
        <v>66</v>
      </c>
      <c r="M79" s="127">
        <v>34.086098305848942</v>
      </c>
      <c r="N79" s="127">
        <v>40</v>
      </c>
      <c r="O79" s="127">
        <v>40</v>
      </c>
      <c r="T79" s="62">
        <f t="shared" si="6"/>
        <v>0</v>
      </c>
      <c r="U79" s="62">
        <f t="shared" si="7"/>
        <v>0</v>
      </c>
      <c r="V79" s="62">
        <f t="shared" si="8"/>
        <v>1041565</v>
      </c>
      <c r="W79" s="62">
        <f t="shared" si="9"/>
        <v>34.086098305848942</v>
      </c>
    </row>
    <row r="80" spans="2:23">
      <c r="B80" s="133">
        <v>611</v>
      </c>
      <c r="C80" s="133">
        <v>62</v>
      </c>
      <c r="D80" s="134" t="s">
        <v>132</v>
      </c>
      <c r="E80" s="96"/>
      <c r="F80" s="97"/>
      <c r="G80" s="61">
        <f>HLOOKUP('2. Notes and Assumptions'!$C$16,$L$4:$O$187,ROWS($L$4:L80),FALSE)</f>
        <v>40</v>
      </c>
      <c r="H80" s="61">
        <f t="shared" si="5"/>
        <v>40</v>
      </c>
      <c r="I80" s="129">
        <v>1</v>
      </c>
      <c r="J80" s="127">
        <v>389154.22000000003</v>
      </c>
      <c r="L80" s="127">
        <v>66</v>
      </c>
      <c r="M80" s="127">
        <v>34.086098305848942</v>
      </c>
      <c r="N80" s="127">
        <v>40</v>
      </c>
      <c r="O80" s="127">
        <v>40</v>
      </c>
      <c r="T80" s="62">
        <f t="shared" si="6"/>
        <v>0</v>
      </c>
      <c r="U80" s="62">
        <f t="shared" si="7"/>
        <v>0</v>
      </c>
      <c r="V80" s="62">
        <f t="shared" si="8"/>
        <v>0</v>
      </c>
      <c r="W80" s="62">
        <f t="shared" si="9"/>
        <v>0</v>
      </c>
    </row>
    <row r="81" spans="2:23">
      <c r="B81" s="133">
        <v>613</v>
      </c>
      <c r="C81" s="133">
        <v>62</v>
      </c>
      <c r="D81" s="134" t="s">
        <v>132</v>
      </c>
      <c r="E81" s="96"/>
      <c r="F81" s="97"/>
      <c r="G81" s="61">
        <f>HLOOKUP('2. Notes and Assumptions'!$C$16,$L$4:$O$187,ROWS($L$4:L81),FALSE)</f>
        <v>40</v>
      </c>
      <c r="H81" s="61">
        <f t="shared" si="5"/>
        <v>40</v>
      </c>
      <c r="I81" s="129">
        <v>2</v>
      </c>
      <c r="J81" s="127">
        <v>711567.76</v>
      </c>
      <c r="L81" s="127">
        <v>66</v>
      </c>
      <c r="M81" s="127">
        <v>34.086098305848942</v>
      </c>
      <c r="N81" s="127">
        <v>40</v>
      </c>
      <c r="O81" s="127">
        <v>40</v>
      </c>
      <c r="T81" s="62">
        <f t="shared" si="6"/>
        <v>0</v>
      </c>
      <c r="U81" s="62">
        <f t="shared" si="7"/>
        <v>0</v>
      </c>
      <c r="V81" s="62">
        <f t="shared" si="8"/>
        <v>0</v>
      </c>
      <c r="W81" s="62">
        <f t="shared" si="9"/>
        <v>0</v>
      </c>
    </row>
    <row r="82" spans="2:23">
      <c r="B82" s="133">
        <v>627</v>
      </c>
      <c r="C82" s="133">
        <v>63</v>
      </c>
      <c r="D82" s="134" t="s">
        <v>132</v>
      </c>
      <c r="E82" s="96"/>
      <c r="F82" s="97"/>
      <c r="G82" s="61">
        <f>HLOOKUP('2. Notes and Assumptions'!$C$16,$L$4:$O$187,ROWS($L$4:L82),FALSE)</f>
        <v>40</v>
      </c>
      <c r="H82" s="61">
        <f t="shared" si="5"/>
        <v>40</v>
      </c>
      <c r="I82" s="129">
        <v>4</v>
      </c>
      <c r="J82" s="127">
        <v>416491</v>
      </c>
      <c r="L82" s="127">
        <v>66</v>
      </c>
      <c r="M82" s="127">
        <v>34.086098305848942</v>
      </c>
      <c r="N82" s="127">
        <v>40</v>
      </c>
      <c r="O82" s="127">
        <v>40</v>
      </c>
      <c r="T82" s="62">
        <f t="shared" si="6"/>
        <v>416491</v>
      </c>
      <c r="U82" s="62">
        <f t="shared" si="7"/>
        <v>34.086098305848942</v>
      </c>
      <c r="V82" s="62">
        <f t="shared" si="8"/>
        <v>0</v>
      </c>
      <c r="W82" s="62">
        <f t="shared" si="9"/>
        <v>0</v>
      </c>
    </row>
    <row r="83" spans="2:23">
      <c r="B83" s="133">
        <v>629</v>
      </c>
      <c r="C83" s="133">
        <v>63</v>
      </c>
      <c r="D83" s="134" t="s">
        <v>132</v>
      </c>
      <c r="E83" s="96"/>
      <c r="F83" s="97"/>
      <c r="G83" s="61">
        <f>HLOOKUP('2. Notes and Assumptions'!$C$16,$L$4:$O$187,ROWS($L$4:L83),FALSE)</f>
        <v>40</v>
      </c>
      <c r="H83" s="61">
        <f t="shared" si="5"/>
        <v>40</v>
      </c>
      <c r="I83" s="129">
        <v>5</v>
      </c>
      <c r="J83" s="127">
        <v>585791</v>
      </c>
      <c r="L83" s="127">
        <v>66</v>
      </c>
      <c r="M83" s="127">
        <v>34.086098305848942</v>
      </c>
      <c r="N83" s="127">
        <v>40</v>
      </c>
      <c r="O83" s="127">
        <v>40</v>
      </c>
      <c r="T83" s="62">
        <f t="shared" si="6"/>
        <v>0</v>
      </c>
      <c r="U83" s="62">
        <f t="shared" si="7"/>
        <v>0</v>
      </c>
      <c r="V83" s="62">
        <f t="shared" si="8"/>
        <v>585791</v>
      </c>
      <c r="W83" s="62">
        <f t="shared" si="9"/>
        <v>34.086098305848942</v>
      </c>
    </row>
    <row r="84" spans="2:23">
      <c r="B84" s="133">
        <v>637</v>
      </c>
      <c r="C84" s="133">
        <v>64</v>
      </c>
      <c r="D84" s="134" t="s">
        <v>132</v>
      </c>
      <c r="E84" s="96"/>
      <c r="F84" s="97"/>
      <c r="G84" s="61">
        <f>HLOOKUP('2. Notes and Assumptions'!$C$16,$L$4:$O$187,ROWS($L$4:L84),FALSE)</f>
        <v>50</v>
      </c>
      <c r="H84" s="61">
        <f t="shared" si="5"/>
        <v>50</v>
      </c>
      <c r="I84" s="129">
        <v>4</v>
      </c>
      <c r="J84" s="127">
        <v>138830</v>
      </c>
      <c r="L84" s="127">
        <v>66</v>
      </c>
      <c r="M84" s="127">
        <v>34.086098305848942</v>
      </c>
      <c r="N84" s="127">
        <v>50</v>
      </c>
      <c r="O84" s="127">
        <v>50</v>
      </c>
      <c r="T84" s="62">
        <f t="shared" si="6"/>
        <v>138830</v>
      </c>
      <c r="U84" s="62">
        <f t="shared" si="7"/>
        <v>34.086098305848942</v>
      </c>
      <c r="V84" s="62">
        <f t="shared" si="8"/>
        <v>0</v>
      </c>
      <c r="W84" s="62">
        <f t="shared" si="9"/>
        <v>0</v>
      </c>
    </row>
    <row r="85" spans="2:23">
      <c r="B85" s="133">
        <v>639</v>
      </c>
      <c r="C85" s="133">
        <v>64</v>
      </c>
      <c r="D85" s="134" t="s">
        <v>132</v>
      </c>
      <c r="E85" s="96"/>
      <c r="F85" s="97"/>
      <c r="G85" s="61">
        <f>HLOOKUP('2. Notes and Assumptions'!$C$16,$L$4:$O$187,ROWS($L$4:L85),FALSE)</f>
        <v>50</v>
      </c>
      <c r="H85" s="61">
        <f t="shared" si="5"/>
        <v>50</v>
      </c>
      <c r="I85" s="129">
        <v>5</v>
      </c>
      <c r="J85" s="127">
        <v>857255</v>
      </c>
      <c r="L85" s="127">
        <v>66</v>
      </c>
      <c r="M85" s="127">
        <v>34.086098305848942</v>
      </c>
      <c r="N85" s="127">
        <v>50</v>
      </c>
      <c r="O85" s="127">
        <v>50</v>
      </c>
      <c r="T85" s="62">
        <f t="shared" si="6"/>
        <v>0</v>
      </c>
      <c r="U85" s="62">
        <f t="shared" si="7"/>
        <v>0</v>
      </c>
      <c r="V85" s="62">
        <f t="shared" si="8"/>
        <v>857255</v>
      </c>
      <c r="W85" s="62">
        <f t="shared" si="9"/>
        <v>34.086098305848942</v>
      </c>
    </row>
    <row r="86" spans="2:23">
      <c r="B86" s="133">
        <v>647</v>
      </c>
      <c r="C86" s="133">
        <v>65</v>
      </c>
      <c r="D86" s="134" t="s">
        <v>132</v>
      </c>
      <c r="E86" s="96"/>
      <c r="F86" s="97"/>
      <c r="G86" s="61">
        <f>HLOOKUP('2. Notes and Assumptions'!$C$16,$L$4:$O$187,ROWS($L$4:L86),FALSE)</f>
        <v>80</v>
      </c>
      <c r="H86" s="61">
        <f t="shared" si="5"/>
        <v>80</v>
      </c>
      <c r="I86" s="129">
        <v>4</v>
      </c>
      <c r="J86" s="127">
        <v>194362</v>
      </c>
      <c r="L86" s="127">
        <v>66</v>
      </c>
      <c r="M86" s="127">
        <v>34.086098305848942</v>
      </c>
      <c r="N86" s="127">
        <v>80</v>
      </c>
      <c r="O86" s="127">
        <v>80</v>
      </c>
      <c r="T86" s="62">
        <f t="shared" si="6"/>
        <v>194362</v>
      </c>
      <c r="U86" s="62">
        <f t="shared" si="7"/>
        <v>34.086098305848942</v>
      </c>
      <c r="V86" s="62">
        <f t="shared" si="8"/>
        <v>0</v>
      </c>
      <c r="W86" s="62">
        <f t="shared" si="9"/>
        <v>0</v>
      </c>
    </row>
    <row r="87" spans="2:23">
      <c r="B87" s="133">
        <v>649</v>
      </c>
      <c r="C87" s="133">
        <v>65</v>
      </c>
      <c r="D87" s="134" t="s">
        <v>132</v>
      </c>
      <c r="E87" s="96"/>
      <c r="F87" s="97"/>
      <c r="G87" s="61">
        <f>HLOOKUP('2. Notes and Assumptions'!$C$16,$L$4:$O$187,ROWS($L$4:L87),FALSE)</f>
        <v>80</v>
      </c>
      <c r="H87" s="61">
        <f t="shared" si="5"/>
        <v>80</v>
      </c>
      <c r="I87" s="129">
        <v>5</v>
      </c>
      <c r="J87" s="127">
        <v>685804</v>
      </c>
      <c r="L87" s="127">
        <v>66</v>
      </c>
      <c r="M87" s="127">
        <v>34.086098305848942</v>
      </c>
      <c r="N87" s="127">
        <v>80</v>
      </c>
      <c r="O87" s="127">
        <v>80</v>
      </c>
      <c r="T87" s="62">
        <f t="shared" si="6"/>
        <v>0</v>
      </c>
      <c r="U87" s="62">
        <f t="shared" si="7"/>
        <v>0</v>
      </c>
      <c r="V87" s="62">
        <f t="shared" si="8"/>
        <v>685804</v>
      </c>
      <c r="W87" s="62">
        <f t="shared" si="9"/>
        <v>34.086098305848942</v>
      </c>
    </row>
    <row r="88" spans="2:23">
      <c r="B88" s="133">
        <v>655</v>
      </c>
      <c r="C88" s="133">
        <v>66</v>
      </c>
      <c r="D88" s="134" t="s">
        <v>132</v>
      </c>
      <c r="E88" s="96"/>
      <c r="F88" s="97"/>
      <c r="G88" s="61">
        <f>HLOOKUP('2. Notes and Assumptions'!$C$16,$L$4:$O$187,ROWS($L$4:L88),FALSE)</f>
        <v>40</v>
      </c>
      <c r="H88" s="61">
        <f t="shared" si="5"/>
        <v>40</v>
      </c>
      <c r="I88" s="129">
        <v>3</v>
      </c>
      <c r="J88" s="127">
        <v>270063</v>
      </c>
      <c r="L88" s="127">
        <v>66</v>
      </c>
      <c r="M88" s="127">
        <v>34.086098305848942</v>
      </c>
      <c r="N88" s="127">
        <v>40</v>
      </c>
      <c r="O88" s="127">
        <v>40</v>
      </c>
      <c r="T88" s="62">
        <f t="shared" si="6"/>
        <v>0</v>
      </c>
      <c r="U88" s="62">
        <f t="shared" si="7"/>
        <v>0</v>
      </c>
      <c r="V88" s="62">
        <f t="shared" si="8"/>
        <v>0</v>
      </c>
      <c r="W88" s="62">
        <f t="shared" si="9"/>
        <v>0</v>
      </c>
    </row>
    <row r="89" spans="2:23">
      <c r="B89" s="133">
        <v>657</v>
      </c>
      <c r="C89" s="133">
        <v>66</v>
      </c>
      <c r="D89" s="134" t="s">
        <v>132</v>
      </c>
      <c r="E89" s="96"/>
      <c r="F89" s="97"/>
      <c r="G89" s="61">
        <f>HLOOKUP('2. Notes and Assumptions'!$C$16,$L$4:$O$187,ROWS($L$4:L89),FALSE)</f>
        <v>40</v>
      </c>
      <c r="H89" s="61">
        <f t="shared" si="5"/>
        <v>40</v>
      </c>
      <c r="I89" s="129">
        <v>4</v>
      </c>
      <c r="J89" s="127">
        <v>277661</v>
      </c>
      <c r="L89" s="127">
        <v>66</v>
      </c>
      <c r="M89" s="127">
        <v>34.086098305848942</v>
      </c>
      <c r="N89" s="127">
        <v>40</v>
      </c>
      <c r="O89" s="127">
        <v>40</v>
      </c>
      <c r="T89" s="62">
        <f t="shared" si="6"/>
        <v>277661</v>
      </c>
      <c r="U89" s="62">
        <f t="shared" si="7"/>
        <v>34.086098305848942</v>
      </c>
      <c r="V89" s="62">
        <f t="shared" si="8"/>
        <v>0</v>
      </c>
      <c r="W89" s="62">
        <f t="shared" si="9"/>
        <v>0</v>
      </c>
    </row>
    <row r="90" spans="2:23">
      <c r="B90" s="133">
        <v>659</v>
      </c>
      <c r="C90" s="133">
        <v>66</v>
      </c>
      <c r="D90" s="134" t="s">
        <v>132</v>
      </c>
      <c r="E90" s="96"/>
      <c r="F90" s="97"/>
      <c r="G90" s="61">
        <f>HLOOKUP('2. Notes and Assumptions'!$C$16,$L$4:$O$187,ROWS($L$4:L90),FALSE)</f>
        <v>40</v>
      </c>
      <c r="H90" s="61">
        <f t="shared" si="5"/>
        <v>40</v>
      </c>
      <c r="I90" s="129">
        <v>5</v>
      </c>
      <c r="J90" s="127">
        <v>328615</v>
      </c>
      <c r="L90" s="127">
        <v>66</v>
      </c>
      <c r="M90" s="127">
        <v>34.086098305848942</v>
      </c>
      <c r="N90" s="127">
        <v>40</v>
      </c>
      <c r="O90" s="127">
        <v>40</v>
      </c>
      <c r="T90" s="62">
        <f t="shared" si="6"/>
        <v>0</v>
      </c>
      <c r="U90" s="62">
        <f t="shared" si="7"/>
        <v>0</v>
      </c>
      <c r="V90" s="62">
        <f t="shared" si="8"/>
        <v>328615</v>
      </c>
      <c r="W90" s="62">
        <f t="shared" si="9"/>
        <v>34.086098305848942</v>
      </c>
    </row>
    <row r="91" spans="2:23">
      <c r="B91" s="133">
        <v>669</v>
      </c>
      <c r="C91" s="133">
        <v>67</v>
      </c>
      <c r="D91" s="134" t="s">
        <v>132</v>
      </c>
      <c r="E91" s="96"/>
      <c r="F91" s="97"/>
      <c r="G91" s="61">
        <f>HLOOKUP('2. Notes and Assumptions'!$C$16,$L$4:$O$187,ROWS($L$4:L91),FALSE)</f>
        <v>40</v>
      </c>
      <c r="H91" s="61">
        <f t="shared" si="5"/>
        <v>40</v>
      </c>
      <c r="I91" s="129">
        <v>5</v>
      </c>
      <c r="J91" s="127">
        <v>714379</v>
      </c>
      <c r="L91" s="127">
        <v>66</v>
      </c>
      <c r="M91" s="127">
        <v>34.086098305848942</v>
      </c>
      <c r="N91" s="127">
        <v>40</v>
      </c>
      <c r="O91" s="127">
        <v>40</v>
      </c>
      <c r="T91" s="62">
        <f t="shared" si="6"/>
        <v>0</v>
      </c>
      <c r="U91" s="62">
        <f t="shared" si="7"/>
        <v>0</v>
      </c>
      <c r="V91" s="62">
        <f t="shared" si="8"/>
        <v>714379</v>
      </c>
      <c r="W91" s="62">
        <f t="shared" si="9"/>
        <v>34.086098305848942</v>
      </c>
    </row>
    <row r="92" spans="2:23">
      <c r="B92" s="133">
        <v>679</v>
      </c>
      <c r="C92" s="133">
        <v>68</v>
      </c>
      <c r="D92" s="134" t="s">
        <v>132</v>
      </c>
      <c r="E92" s="96"/>
      <c r="F92" s="97"/>
      <c r="G92" s="61">
        <f>HLOOKUP('2. Notes and Assumptions'!$C$16,$L$4:$O$187,ROWS($L$4:L92),FALSE)</f>
        <v>60</v>
      </c>
      <c r="H92" s="61">
        <f t="shared" si="5"/>
        <v>60</v>
      </c>
      <c r="I92" s="129">
        <v>5</v>
      </c>
      <c r="J92" s="127">
        <v>714379</v>
      </c>
      <c r="L92" s="127">
        <v>66</v>
      </c>
      <c r="M92" s="127">
        <v>34.086098305848942</v>
      </c>
      <c r="N92" s="127">
        <v>60</v>
      </c>
      <c r="O92" s="127">
        <v>60</v>
      </c>
      <c r="T92" s="62">
        <f t="shared" si="6"/>
        <v>0</v>
      </c>
      <c r="U92" s="62">
        <f t="shared" si="7"/>
        <v>0</v>
      </c>
      <c r="V92" s="62">
        <f t="shared" si="8"/>
        <v>714379</v>
      </c>
      <c r="W92" s="62">
        <f t="shared" si="9"/>
        <v>34.086098305848942</v>
      </c>
    </row>
    <row r="93" spans="2:23">
      <c r="B93" s="133">
        <v>687</v>
      </c>
      <c r="C93" s="133">
        <v>69</v>
      </c>
      <c r="D93" s="134" t="s">
        <v>132</v>
      </c>
      <c r="E93" s="96"/>
      <c r="F93" s="97"/>
      <c r="G93" s="61">
        <f>HLOOKUP('2. Notes and Assumptions'!$C$16,$L$4:$O$187,ROWS($L$4:L93),FALSE)</f>
        <v>40</v>
      </c>
      <c r="H93" s="61">
        <f t="shared" si="5"/>
        <v>40</v>
      </c>
      <c r="I93" s="129">
        <v>4</v>
      </c>
      <c r="J93" s="127">
        <v>171337.07761766078</v>
      </c>
      <c r="L93" s="127">
        <v>66</v>
      </c>
      <c r="M93" s="127">
        <v>34.086098305848942</v>
      </c>
      <c r="N93" s="127">
        <v>40</v>
      </c>
      <c r="O93" s="127">
        <v>40</v>
      </c>
      <c r="T93" s="62">
        <f t="shared" si="6"/>
        <v>171337.07761766078</v>
      </c>
      <c r="U93" s="62">
        <f t="shared" si="7"/>
        <v>34.086098305848942</v>
      </c>
      <c r="V93" s="62">
        <f t="shared" si="8"/>
        <v>0</v>
      </c>
      <c r="W93" s="62">
        <f t="shared" si="9"/>
        <v>0</v>
      </c>
    </row>
    <row r="94" spans="2:23">
      <c r="B94" s="133">
        <v>689</v>
      </c>
      <c r="C94" s="133">
        <v>69</v>
      </c>
      <c r="D94" s="134" t="s">
        <v>132</v>
      </c>
      <c r="E94" s="96"/>
      <c r="F94" s="97"/>
      <c r="G94" s="61">
        <f>HLOOKUP('2. Notes and Assumptions'!$C$16,$L$4:$O$187,ROWS($L$4:L94),FALSE)</f>
        <v>40</v>
      </c>
      <c r="H94" s="61">
        <f t="shared" si="5"/>
        <v>40</v>
      </c>
      <c r="I94" s="129">
        <v>5</v>
      </c>
      <c r="J94" s="127">
        <v>540126.17785906384</v>
      </c>
      <c r="L94" s="127">
        <v>66</v>
      </c>
      <c r="M94" s="127">
        <v>34.086098305848942</v>
      </c>
      <c r="N94" s="127">
        <v>40</v>
      </c>
      <c r="O94" s="127">
        <v>40</v>
      </c>
      <c r="T94" s="62">
        <f t="shared" si="6"/>
        <v>0</v>
      </c>
      <c r="U94" s="62">
        <f t="shared" si="7"/>
        <v>0</v>
      </c>
      <c r="V94" s="62">
        <f t="shared" si="8"/>
        <v>540126.17785906384</v>
      </c>
      <c r="W94" s="62">
        <f t="shared" si="9"/>
        <v>34.086098305848942</v>
      </c>
    </row>
    <row r="95" spans="2:23">
      <c r="B95" s="133">
        <v>697</v>
      </c>
      <c r="C95" s="133">
        <v>70</v>
      </c>
      <c r="D95" s="134" t="s">
        <v>132</v>
      </c>
      <c r="E95" s="96"/>
      <c r="F95" s="97"/>
      <c r="G95" s="61">
        <f>HLOOKUP('2. Notes and Assumptions'!$C$16,$L$4:$O$187,ROWS($L$4:L95),FALSE)</f>
        <v>30</v>
      </c>
      <c r="H95" s="61">
        <f t="shared" si="5"/>
        <v>30</v>
      </c>
      <c r="I95" s="129">
        <v>4</v>
      </c>
      <c r="J95" s="127">
        <v>654238</v>
      </c>
      <c r="L95" s="127">
        <v>66</v>
      </c>
      <c r="M95" s="127">
        <v>34.086098305848942</v>
      </c>
      <c r="N95" s="127">
        <v>30</v>
      </c>
      <c r="O95" s="127">
        <v>30</v>
      </c>
      <c r="T95" s="62">
        <f t="shared" si="6"/>
        <v>654238</v>
      </c>
      <c r="U95" s="62">
        <f t="shared" si="7"/>
        <v>34.086098305848942</v>
      </c>
      <c r="V95" s="62">
        <f t="shared" si="8"/>
        <v>0</v>
      </c>
      <c r="W95" s="62">
        <f t="shared" si="9"/>
        <v>0</v>
      </c>
    </row>
    <row r="96" spans="2:23">
      <c r="B96" s="133">
        <v>701</v>
      </c>
      <c r="C96" s="133">
        <v>71</v>
      </c>
      <c r="D96" s="134" t="s">
        <v>132</v>
      </c>
      <c r="E96" s="96"/>
      <c r="F96" s="97"/>
      <c r="G96" s="61">
        <f>HLOOKUP('2. Notes and Assumptions'!$C$16,$L$4:$O$187,ROWS($L$4:L96),FALSE)</f>
        <v>60</v>
      </c>
      <c r="H96" s="61">
        <f t="shared" si="5"/>
        <v>60</v>
      </c>
      <c r="I96" s="129">
        <v>1</v>
      </c>
      <c r="J96" s="127">
        <v>643269.34000000008</v>
      </c>
      <c r="L96" s="127">
        <v>66</v>
      </c>
      <c r="M96" s="127">
        <v>34.086098305848942</v>
      </c>
      <c r="N96" s="127">
        <v>60</v>
      </c>
      <c r="O96" s="127">
        <v>60</v>
      </c>
      <c r="T96" s="62">
        <f t="shared" si="6"/>
        <v>0</v>
      </c>
      <c r="U96" s="62">
        <f t="shared" si="7"/>
        <v>0</v>
      </c>
      <c r="V96" s="62">
        <f t="shared" si="8"/>
        <v>0</v>
      </c>
      <c r="W96" s="62">
        <f t="shared" si="9"/>
        <v>0</v>
      </c>
    </row>
    <row r="97" spans="2:23">
      <c r="B97" s="133">
        <v>715</v>
      </c>
      <c r="C97" s="133">
        <v>72</v>
      </c>
      <c r="D97" s="134" t="s">
        <v>132</v>
      </c>
      <c r="E97" s="96"/>
      <c r="F97" s="97"/>
      <c r="G97" s="61">
        <f>HLOOKUP('2. Notes and Assumptions'!$C$16,$L$4:$O$187,ROWS($L$4:L97),FALSE)</f>
        <v>40</v>
      </c>
      <c r="H97" s="61">
        <f t="shared" si="5"/>
        <v>40</v>
      </c>
      <c r="I97" s="129">
        <v>3</v>
      </c>
      <c r="J97" s="127">
        <v>614394</v>
      </c>
      <c r="L97" s="127">
        <v>66</v>
      </c>
      <c r="M97" s="127">
        <v>34.086098305848942</v>
      </c>
      <c r="N97" s="127">
        <v>40</v>
      </c>
      <c r="O97" s="127">
        <v>40</v>
      </c>
      <c r="T97" s="62">
        <f t="shared" si="6"/>
        <v>0</v>
      </c>
      <c r="U97" s="62">
        <f t="shared" si="7"/>
        <v>0</v>
      </c>
      <c r="V97" s="62">
        <f t="shared" si="8"/>
        <v>0</v>
      </c>
      <c r="W97" s="62">
        <f t="shared" si="9"/>
        <v>0</v>
      </c>
    </row>
    <row r="98" spans="2:23">
      <c r="B98" s="133">
        <v>727</v>
      </c>
      <c r="C98" s="133">
        <v>73</v>
      </c>
      <c r="D98" s="134" t="s">
        <v>132</v>
      </c>
      <c r="E98" s="96"/>
      <c r="F98" s="97"/>
      <c r="G98" s="61">
        <f>HLOOKUP('2. Notes and Assumptions'!$C$16,$L$4:$O$187,ROWS($L$4:L98),FALSE)</f>
        <v>40</v>
      </c>
      <c r="H98" s="61">
        <f t="shared" si="5"/>
        <v>40</v>
      </c>
      <c r="I98" s="129">
        <v>4</v>
      </c>
      <c r="J98" s="127">
        <v>111064</v>
      </c>
      <c r="L98" s="127">
        <v>66</v>
      </c>
      <c r="M98" s="127">
        <v>34.086098305848942</v>
      </c>
      <c r="N98" s="127">
        <v>40</v>
      </c>
      <c r="O98" s="127">
        <v>40</v>
      </c>
      <c r="T98" s="62">
        <f t="shared" si="6"/>
        <v>111064</v>
      </c>
      <c r="U98" s="62">
        <f t="shared" si="7"/>
        <v>34.086098305848942</v>
      </c>
      <c r="V98" s="62">
        <f t="shared" si="8"/>
        <v>0</v>
      </c>
      <c r="W98" s="62">
        <f t="shared" si="9"/>
        <v>0</v>
      </c>
    </row>
    <row r="99" spans="2:23">
      <c r="B99" s="133">
        <v>729</v>
      </c>
      <c r="C99" s="133">
        <v>73</v>
      </c>
      <c r="D99" s="134" t="s">
        <v>132</v>
      </c>
      <c r="E99" s="96"/>
      <c r="F99" s="97"/>
      <c r="G99" s="61">
        <f>HLOOKUP('2. Notes and Assumptions'!$C$16,$L$4:$O$187,ROWS($L$4:L99),FALSE)</f>
        <v>40</v>
      </c>
      <c r="H99" s="61">
        <f t="shared" si="5"/>
        <v>40</v>
      </c>
      <c r="I99" s="129">
        <v>5</v>
      </c>
      <c r="J99" s="127">
        <v>457203</v>
      </c>
      <c r="L99" s="127">
        <v>66</v>
      </c>
      <c r="M99" s="127">
        <v>34.086098305848942</v>
      </c>
      <c r="N99" s="127">
        <v>40</v>
      </c>
      <c r="O99" s="127">
        <v>40</v>
      </c>
      <c r="T99" s="62">
        <f t="shared" si="6"/>
        <v>0</v>
      </c>
      <c r="U99" s="62">
        <f t="shared" si="7"/>
        <v>0</v>
      </c>
      <c r="V99" s="62">
        <f t="shared" si="8"/>
        <v>457203</v>
      </c>
      <c r="W99" s="62">
        <f t="shared" si="9"/>
        <v>34.086098305848942</v>
      </c>
    </row>
    <row r="100" spans="2:23">
      <c r="B100" s="133">
        <v>731</v>
      </c>
      <c r="C100" s="133">
        <v>74</v>
      </c>
      <c r="D100" s="134" t="s">
        <v>132</v>
      </c>
      <c r="E100" s="96"/>
      <c r="F100" s="97"/>
      <c r="G100" s="61">
        <f>HLOOKUP('2. Notes and Assumptions'!$C$16,$L$4:$O$187,ROWS($L$4:L100),FALSE)</f>
        <v>40</v>
      </c>
      <c r="H100" s="61">
        <f t="shared" si="5"/>
        <v>40</v>
      </c>
      <c r="I100" s="129">
        <v>1</v>
      </c>
      <c r="J100" s="127">
        <v>35377.360000000008</v>
      </c>
      <c r="L100" s="127">
        <v>66</v>
      </c>
      <c r="M100" s="127">
        <v>34.086098305848942</v>
      </c>
      <c r="N100" s="127">
        <v>40</v>
      </c>
      <c r="O100" s="127">
        <v>40</v>
      </c>
      <c r="T100" s="62">
        <f t="shared" si="6"/>
        <v>0</v>
      </c>
      <c r="U100" s="62">
        <f t="shared" si="7"/>
        <v>0</v>
      </c>
      <c r="V100" s="62">
        <f t="shared" si="8"/>
        <v>0</v>
      </c>
      <c r="W100" s="62">
        <f t="shared" si="9"/>
        <v>0</v>
      </c>
    </row>
    <row r="101" spans="2:23">
      <c r="B101" s="133">
        <v>733</v>
      </c>
      <c r="C101" s="133">
        <v>74</v>
      </c>
      <c r="D101" s="134" t="s">
        <v>132</v>
      </c>
      <c r="E101" s="96"/>
      <c r="F101" s="97"/>
      <c r="G101" s="61">
        <f>HLOOKUP('2. Notes and Assumptions'!$C$16,$L$4:$O$187,ROWS($L$4:L101),FALSE)</f>
        <v>40</v>
      </c>
      <c r="H101" s="61">
        <f t="shared" si="5"/>
        <v>40</v>
      </c>
      <c r="I101" s="129">
        <v>2</v>
      </c>
      <c r="J101" s="127">
        <v>481377.5</v>
      </c>
      <c r="L101" s="127">
        <v>66</v>
      </c>
      <c r="M101" s="127">
        <v>34.086098305848942</v>
      </c>
      <c r="N101" s="127">
        <v>40</v>
      </c>
      <c r="O101" s="127">
        <v>40</v>
      </c>
      <c r="T101" s="62">
        <f t="shared" si="6"/>
        <v>0</v>
      </c>
      <c r="U101" s="62">
        <f t="shared" si="7"/>
        <v>0</v>
      </c>
      <c r="V101" s="62">
        <f t="shared" si="8"/>
        <v>0</v>
      </c>
      <c r="W101" s="62">
        <f t="shared" si="9"/>
        <v>0</v>
      </c>
    </row>
    <row r="102" spans="2:23">
      <c r="B102" s="133">
        <v>749</v>
      </c>
      <c r="C102" s="133">
        <v>75</v>
      </c>
      <c r="D102" s="134" t="s">
        <v>132</v>
      </c>
      <c r="E102" s="96"/>
      <c r="F102" s="97"/>
      <c r="G102" s="61">
        <f>HLOOKUP('2. Notes and Assumptions'!$C$16,$L$4:$O$187,ROWS($L$4:L102),FALSE)</f>
        <v>80</v>
      </c>
      <c r="H102" s="61">
        <f t="shared" si="5"/>
        <v>80</v>
      </c>
      <c r="I102" s="129">
        <v>5</v>
      </c>
      <c r="J102" s="127">
        <v>470062</v>
      </c>
      <c r="L102" s="127">
        <v>66</v>
      </c>
      <c r="M102" s="127">
        <v>34.086098305848942</v>
      </c>
      <c r="N102" s="127">
        <v>80</v>
      </c>
      <c r="O102" s="127">
        <v>80</v>
      </c>
      <c r="T102" s="62">
        <f t="shared" si="6"/>
        <v>0</v>
      </c>
      <c r="U102" s="62">
        <f t="shared" si="7"/>
        <v>0</v>
      </c>
      <c r="V102" s="62">
        <f t="shared" si="8"/>
        <v>470062</v>
      </c>
      <c r="W102" s="62">
        <f t="shared" si="9"/>
        <v>34.086098305848942</v>
      </c>
    </row>
    <row r="103" spans="2:23">
      <c r="B103" s="133">
        <v>751</v>
      </c>
      <c r="C103" s="133">
        <v>76</v>
      </c>
      <c r="D103" s="134" t="s">
        <v>132</v>
      </c>
      <c r="E103" s="96"/>
      <c r="F103" s="97"/>
      <c r="G103" s="61">
        <f>HLOOKUP('2. Notes and Assumptions'!$C$16,$L$4:$O$187,ROWS($L$4:L103),FALSE)</f>
        <v>40</v>
      </c>
      <c r="H103" s="61">
        <f t="shared" si="5"/>
        <v>40</v>
      </c>
      <c r="I103" s="129">
        <v>1</v>
      </c>
      <c r="J103" s="127">
        <v>20264.030000000002</v>
      </c>
      <c r="L103" s="127">
        <v>66</v>
      </c>
      <c r="M103" s="127">
        <v>34.086098305848942</v>
      </c>
      <c r="N103" s="127">
        <v>40</v>
      </c>
      <c r="O103" s="127">
        <v>40</v>
      </c>
      <c r="T103" s="62">
        <f t="shared" si="6"/>
        <v>0</v>
      </c>
      <c r="U103" s="62">
        <f t="shared" si="7"/>
        <v>0</v>
      </c>
      <c r="V103" s="62">
        <f t="shared" si="8"/>
        <v>0</v>
      </c>
      <c r="W103" s="62">
        <f t="shared" si="9"/>
        <v>0</v>
      </c>
    </row>
    <row r="104" spans="2:23">
      <c r="B104" s="133">
        <v>753</v>
      </c>
      <c r="C104" s="133">
        <v>76</v>
      </c>
      <c r="D104" s="134" t="s">
        <v>132</v>
      </c>
      <c r="E104" s="96"/>
      <c r="F104" s="97"/>
      <c r="G104" s="61">
        <f>HLOOKUP('2. Notes and Assumptions'!$C$16,$L$4:$O$187,ROWS($L$4:L104),FALSE)</f>
        <v>40</v>
      </c>
      <c r="H104" s="61">
        <f t="shared" si="5"/>
        <v>40</v>
      </c>
      <c r="I104" s="129">
        <v>2</v>
      </c>
      <c r="J104" s="127">
        <v>372199.73</v>
      </c>
      <c r="L104" s="127">
        <v>66</v>
      </c>
      <c r="M104" s="127">
        <v>34.086098305848942</v>
      </c>
      <c r="N104" s="127">
        <v>40</v>
      </c>
      <c r="O104" s="127">
        <v>40</v>
      </c>
      <c r="T104" s="62">
        <f t="shared" si="6"/>
        <v>0</v>
      </c>
      <c r="U104" s="62">
        <f t="shared" si="7"/>
        <v>0</v>
      </c>
      <c r="V104" s="62">
        <f t="shared" si="8"/>
        <v>0</v>
      </c>
      <c r="W104" s="62">
        <f t="shared" si="9"/>
        <v>0</v>
      </c>
    </row>
    <row r="105" spans="2:23">
      <c r="B105" s="133">
        <v>755</v>
      </c>
      <c r="C105" s="133">
        <v>76</v>
      </c>
      <c r="D105" s="134" t="s">
        <v>132</v>
      </c>
      <c r="E105" s="96"/>
      <c r="F105" s="97"/>
      <c r="G105" s="61">
        <f>HLOOKUP('2. Notes and Assumptions'!$C$16,$L$4:$O$187,ROWS($L$4:L105),FALSE)</f>
        <v>40</v>
      </c>
      <c r="H105" s="61">
        <f t="shared" si="5"/>
        <v>40</v>
      </c>
      <c r="I105" s="129">
        <v>3</v>
      </c>
      <c r="J105" s="127">
        <v>46752</v>
      </c>
      <c r="L105" s="127">
        <v>66</v>
      </c>
      <c r="M105" s="127">
        <v>34.086098305848942</v>
      </c>
      <c r="N105" s="127">
        <v>40</v>
      </c>
      <c r="O105" s="127">
        <v>40</v>
      </c>
      <c r="T105" s="62">
        <f t="shared" si="6"/>
        <v>0</v>
      </c>
      <c r="U105" s="62">
        <f t="shared" si="7"/>
        <v>0</v>
      </c>
      <c r="V105" s="62">
        <f t="shared" si="8"/>
        <v>0</v>
      </c>
      <c r="W105" s="62">
        <f t="shared" si="9"/>
        <v>0</v>
      </c>
    </row>
    <row r="106" spans="2:23">
      <c r="B106" s="133">
        <v>761</v>
      </c>
      <c r="C106" s="133">
        <v>77</v>
      </c>
      <c r="D106" s="134" t="s">
        <v>132</v>
      </c>
      <c r="E106" s="96"/>
      <c r="F106" s="97"/>
      <c r="G106" s="61">
        <f>HLOOKUP('2. Notes and Assumptions'!$C$16,$L$4:$O$187,ROWS($L$4:L106),FALSE)</f>
        <v>40</v>
      </c>
      <c r="H106" s="61">
        <f t="shared" si="5"/>
        <v>40</v>
      </c>
      <c r="I106" s="129">
        <v>1</v>
      </c>
      <c r="J106" s="127">
        <v>323764.42999999993</v>
      </c>
      <c r="L106" s="127">
        <v>66</v>
      </c>
      <c r="M106" s="127">
        <v>34.086098305848942</v>
      </c>
      <c r="N106" s="127">
        <v>40</v>
      </c>
      <c r="O106" s="127">
        <v>40</v>
      </c>
      <c r="T106" s="62">
        <f t="shared" si="6"/>
        <v>0</v>
      </c>
      <c r="U106" s="62">
        <f t="shared" si="7"/>
        <v>0</v>
      </c>
      <c r="V106" s="62">
        <f t="shared" si="8"/>
        <v>0</v>
      </c>
      <c r="W106" s="62">
        <f t="shared" si="9"/>
        <v>0</v>
      </c>
    </row>
    <row r="107" spans="2:23">
      <c r="B107" s="133">
        <v>779</v>
      </c>
      <c r="C107" s="133">
        <v>78</v>
      </c>
      <c r="D107" s="134" t="s">
        <v>132</v>
      </c>
      <c r="E107" s="96"/>
      <c r="F107" s="97"/>
      <c r="G107" s="61">
        <f>HLOOKUP('2. Notes and Assumptions'!$C$16,$L$4:$O$187,ROWS($L$4:L107),FALSE)</f>
        <v>40</v>
      </c>
      <c r="H107" s="61">
        <f t="shared" si="5"/>
        <v>40</v>
      </c>
      <c r="I107" s="129">
        <v>5</v>
      </c>
      <c r="J107" s="127">
        <v>307183</v>
      </c>
      <c r="L107" s="127">
        <v>66</v>
      </c>
      <c r="M107" s="127">
        <v>34.086098305848942</v>
      </c>
      <c r="N107" s="127">
        <v>40</v>
      </c>
      <c r="O107" s="127">
        <v>40</v>
      </c>
      <c r="T107" s="62">
        <f t="shared" si="6"/>
        <v>0</v>
      </c>
      <c r="U107" s="62">
        <f t="shared" si="7"/>
        <v>0</v>
      </c>
      <c r="V107" s="62">
        <f t="shared" si="8"/>
        <v>307183</v>
      </c>
      <c r="W107" s="62">
        <f t="shared" si="9"/>
        <v>34.086098305848942</v>
      </c>
    </row>
    <row r="108" spans="2:23">
      <c r="B108" s="133">
        <v>789</v>
      </c>
      <c r="C108" s="133">
        <v>79</v>
      </c>
      <c r="D108" s="134" t="s">
        <v>132</v>
      </c>
      <c r="E108" s="96"/>
      <c r="F108" s="97"/>
      <c r="G108" s="61">
        <f>HLOOKUP('2. Notes and Assumptions'!$C$16,$L$4:$O$187,ROWS($L$4:L108),FALSE)</f>
        <v>40</v>
      </c>
      <c r="H108" s="61">
        <f t="shared" si="5"/>
        <v>40</v>
      </c>
      <c r="I108" s="129">
        <v>5</v>
      </c>
      <c r="J108" s="127">
        <v>307183</v>
      </c>
      <c r="L108" s="127">
        <v>66</v>
      </c>
      <c r="M108" s="127">
        <v>34.086098305848942</v>
      </c>
      <c r="N108" s="127">
        <v>40</v>
      </c>
      <c r="O108" s="127">
        <v>40</v>
      </c>
      <c r="T108" s="62">
        <f t="shared" si="6"/>
        <v>0</v>
      </c>
      <c r="U108" s="62">
        <f t="shared" si="7"/>
        <v>0</v>
      </c>
      <c r="V108" s="62">
        <f t="shared" si="8"/>
        <v>307183</v>
      </c>
      <c r="W108" s="62">
        <f t="shared" si="9"/>
        <v>34.086098305848942</v>
      </c>
    </row>
    <row r="109" spans="2:23">
      <c r="B109" s="133">
        <v>791</v>
      </c>
      <c r="C109" s="133">
        <v>80</v>
      </c>
      <c r="D109" s="134" t="s">
        <v>132</v>
      </c>
      <c r="E109" s="96"/>
      <c r="F109" s="97"/>
      <c r="G109" s="61">
        <f>HLOOKUP('2. Notes and Assumptions'!$C$16,$L$4:$O$187,ROWS($L$4:L109),FALSE)</f>
        <v>100</v>
      </c>
      <c r="H109" s="61">
        <f t="shared" si="5"/>
        <v>100</v>
      </c>
      <c r="I109" s="129">
        <v>1</v>
      </c>
      <c r="J109" s="127">
        <v>6588.7100000000009</v>
      </c>
      <c r="L109" s="127">
        <v>66</v>
      </c>
      <c r="M109" s="127">
        <v>34.086098305848942</v>
      </c>
      <c r="N109" s="127">
        <v>100</v>
      </c>
      <c r="O109" s="127">
        <v>100</v>
      </c>
      <c r="T109" s="62">
        <f t="shared" si="6"/>
        <v>0</v>
      </c>
      <c r="U109" s="62">
        <f t="shared" si="7"/>
        <v>0</v>
      </c>
      <c r="V109" s="62">
        <f t="shared" si="8"/>
        <v>0</v>
      </c>
      <c r="W109" s="62">
        <f t="shared" si="9"/>
        <v>0</v>
      </c>
    </row>
    <row r="110" spans="2:23">
      <c r="B110" s="133">
        <v>793</v>
      </c>
      <c r="C110" s="133">
        <v>80</v>
      </c>
      <c r="D110" s="134" t="s">
        <v>132</v>
      </c>
      <c r="E110" s="96"/>
      <c r="F110" s="97"/>
      <c r="G110" s="61">
        <f>HLOOKUP('2. Notes and Assumptions'!$C$16,$L$4:$O$187,ROWS($L$4:L110),FALSE)</f>
        <v>100</v>
      </c>
      <c r="H110" s="61">
        <f t="shared" si="5"/>
        <v>100</v>
      </c>
      <c r="I110" s="129">
        <v>2</v>
      </c>
      <c r="J110" s="127">
        <v>150352</v>
      </c>
      <c r="L110" s="127">
        <v>66</v>
      </c>
      <c r="M110" s="127">
        <v>34.086098305848942</v>
      </c>
      <c r="N110" s="127">
        <v>100</v>
      </c>
      <c r="O110" s="127">
        <v>100</v>
      </c>
      <c r="T110" s="62">
        <f t="shared" si="6"/>
        <v>0</v>
      </c>
      <c r="U110" s="62">
        <f t="shared" si="7"/>
        <v>0</v>
      </c>
      <c r="V110" s="62">
        <f t="shared" si="8"/>
        <v>0</v>
      </c>
      <c r="W110" s="62">
        <f t="shared" si="9"/>
        <v>0</v>
      </c>
    </row>
    <row r="111" spans="2:23">
      <c r="B111" s="133">
        <v>809</v>
      </c>
      <c r="C111" s="133">
        <v>81</v>
      </c>
      <c r="D111" s="134" t="s">
        <v>132</v>
      </c>
      <c r="E111" s="96"/>
      <c r="F111" s="97"/>
      <c r="G111" s="61">
        <f>HLOOKUP('2. Notes and Assumptions'!$C$16,$L$4:$O$187,ROWS($L$4:L111),FALSE)</f>
        <v>50</v>
      </c>
      <c r="H111" s="61">
        <f t="shared" si="5"/>
        <v>50</v>
      </c>
      <c r="I111" s="129">
        <v>5</v>
      </c>
      <c r="J111" s="127">
        <v>142876</v>
      </c>
      <c r="L111" s="127">
        <v>66</v>
      </c>
      <c r="M111" s="127">
        <v>34.086098305848942</v>
      </c>
      <c r="N111" s="127">
        <v>50</v>
      </c>
      <c r="O111" s="127">
        <v>50</v>
      </c>
      <c r="T111" s="62">
        <f t="shared" si="6"/>
        <v>0</v>
      </c>
      <c r="U111" s="62">
        <f t="shared" si="7"/>
        <v>0</v>
      </c>
      <c r="V111" s="62">
        <f t="shared" si="8"/>
        <v>142876</v>
      </c>
      <c r="W111" s="62">
        <f t="shared" si="9"/>
        <v>34.086098305848942</v>
      </c>
    </row>
    <row r="112" spans="2:23">
      <c r="B112" s="133">
        <v>811</v>
      </c>
      <c r="C112" s="133">
        <v>82</v>
      </c>
      <c r="D112" s="134" t="s">
        <v>132</v>
      </c>
      <c r="E112" s="96"/>
      <c r="F112" s="97"/>
      <c r="G112" s="61">
        <f>HLOOKUP('2. Notes and Assumptions'!$C$16,$L$4:$O$187,ROWS($L$4:L112),FALSE)</f>
        <v>10</v>
      </c>
      <c r="H112" s="61">
        <f t="shared" si="5"/>
        <v>10</v>
      </c>
      <c r="I112" s="129">
        <v>1</v>
      </c>
      <c r="J112" s="127">
        <v>142399.21000000002</v>
      </c>
      <c r="L112" s="127">
        <v>66</v>
      </c>
      <c r="M112" s="127">
        <v>34.086098305848942</v>
      </c>
      <c r="N112" s="127">
        <v>33.33</v>
      </c>
      <c r="O112" s="127">
        <v>10</v>
      </c>
      <c r="T112" s="62">
        <f t="shared" si="6"/>
        <v>0</v>
      </c>
      <c r="U112" s="62">
        <f t="shared" si="7"/>
        <v>0</v>
      </c>
      <c r="V112" s="62">
        <f t="shared" si="8"/>
        <v>0</v>
      </c>
      <c r="W112" s="62">
        <f t="shared" si="9"/>
        <v>0</v>
      </c>
    </row>
    <row r="113" spans="2:23">
      <c r="B113" s="133">
        <v>821</v>
      </c>
      <c r="C113" s="133">
        <v>83</v>
      </c>
      <c r="D113" s="134" t="s">
        <v>132</v>
      </c>
      <c r="E113" s="96"/>
      <c r="F113" s="97"/>
      <c r="G113" s="61">
        <f>HLOOKUP('2. Notes and Assumptions'!$C$16,$L$4:$O$187,ROWS($L$4:L113),FALSE)</f>
        <v>5</v>
      </c>
      <c r="H113" s="61">
        <f t="shared" si="5"/>
        <v>5</v>
      </c>
      <c r="I113" s="129">
        <v>1</v>
      </c>
      <c r="J113" s="127">
        <v>24808.75</v>
      </c>
      <c r="L113" s="127">
        <v>66</v>
      </c>
      <c r="M113" s="127">
        <v>34.086098305848942</v>
      </c>
      <c r="N113" s="127">
        <v>5</v>
      </c>
      <c r="O113" s="127">
        <v>5</v>
      </c>
      <c r="T113" s="62">
        <f t="shared" si="6"/>
        <v>0</v>
      </c>
      <c r="U113" s="62">
        <f t="shared" si="7"/>
        <v>0</v>
      </c>
      <c r="V113" s="62">
        <f t="shared" si="8"/>
        <v>0</v>
      </c>
      <c r="W113" s="62">
        <f t="shared" si="9"/>
        <v>0</v>
      </c>
    </row>
    <row r="114" spans="2:23">
      <c r="B114" s="133">
        <v>833</v>
      </c>
      <c r="C114" s="133">
        <v>84</v>
      </c>
      <c r="D114" s="134" t="s">
        <v>132</v>
      </c>
      <c r="E114" s="96"/>
      <c r="F114" s="97"/>
      <c r="G114" s="61">
        <f>HLOOKUP('2. Notes and Assumptions'!$C$16,$L$4:$O$187,ROWS($L$4:L114),FALSE)</f>
        <v>15</v>
      </c>
      <c r="H114" s="61">
        <f t="shared" si="5"/>
        <v>15</v>
      </c>
      <c r="I114" s="129">
        <v>2</v>
      </c>
      <c r="J114" s="127">
        <v>215000</v>
      </c>
      <c r="L114" s="127">
        <v>66</v>
      </c>
      <c r="M114" s="127">
        <v>34.086098305848942</v>
      </c>
      <c r="N114" s="127">
        <v>15</v>
      </c>
      <c r="O114" s="127">
        <v>15</v>
      </c>
      <c r="T114" s="62">
        <f t="shared" si="6"/>
        <v>0</v>
      </c>
      <c r="U114" s="62">
        <f t="shared" si="7"/>
        <v>0</v>
      </c>
      <c r="V114" s="62">
        <f t="shared" si="8"/>
        <v>0</v>
      </c>
      <c r="W114" s="62">
        <f t="shared" si="9"/>
        <v>0</v>
      </c>
    </row>
    <row r="115" spans="2:23">
      <c r="B115" s="133">
        <v>841</v>
      </c>
      <c r="C115" s="133">
        <v>85</v>
      </c>
      <c r="D115" s="134" t="s">
        <v>132</v>
      </c>
      <c r="E115" s="96"/>
      <c r="F115" s="97"/>
      <c r="G115" s="61">
        <f>HLOOKUP('2. Notes and Assumptions'!$C$16,$L$4:$O$187,ROWS($L$4:L115),FALSE)</f>
        <v>5</v>
      </c>
      <c r="H115" s="61">
        <f t="shared" si="5"/>
        <v>5</v>
      </c>
      <c r="I115" s="129">
        <v>1</v>
      </c>
      <c r="J115" s="127">
        <v>575003.31999999995</v>
      </c>
      <c r="L115" s="127">
        <v>66</v>
      </c>
      <c r="M115" s="127">
        <v>34.086098305848942</v>
      </c>
      <c r="N115" s="127">
        <v>5</v>
      </c>
      <c r="O115" s="127">
        <v>5</v>
      </c>
      <c r="T115" s="62">
        <f t="shared" si="6"/>
        <v>0</v>
      </c>
      <c r="U115" s="62">
        <f t="shared" si="7"/>
        <v>0</v>
      </c>
      <c r="V115" s="62">
        <f t="shared" si="8"/>
        <v>0</v>
      </c>
      <c r="W115" s="62">
        <f t="shared" si="9"/>
        <v>0</v>
      </c>
    </row>
    <row r="116" spans="2:23">
      <c r="B116" s="133">
        <v>843</v>
      </c>
      <c r="C116" s="133">
        <v>85</v>
      </c>
      <c r="D116" s="134" t="s">
        <v>132</v>
      </c>
      <c r="E116" s="96"/>
      <c r="F116" s="97"/>
      <c r="G116" s="61">
        <f>HLOOKUP('2. Notes and Assumptions'!$C$16,$L$4:$O$187,ROWS($L$4:L116),FALSE)</f>
        <v>5</v>
      </c>
      <c r="H116" s="61">
        <f t="shared" si="5"/>
        <v>5</v>
      </c>
      <c r="I116" s="129">
        <v>2</v>
      </c>
      <c r="J116" s="127">
        <v>419500.00000000006</v>
      </c>
      <c r="L116" s="127">
        <v>66</v>
      </c>
      <c r="M116" s="127">
        <v>34.086098305848942</v>
      </c>
      <c r="N116" s="127">
        <v>5</v>
      </c>
      <c r="O116" s="127">
        <v>5</v>
      </c>
      <c r="T116" s="62">
        <f t="shared" si="6"/>
        <v>0</v>
      </c>
      <c r="U116" s="62">
        <f t="shared" si="7"/>
        <v>0</v>
      </c>
      <c r="V116" s="62">
        <f t="shared" si="8"/>
        <v>0</v>
      </c>
      <c r="W116" s="62">
        <f t="shared" si="9"/>
        <v>0</v>
      </c>
    </row>
    <row r="117" spans="2:23">
      <c r="B117" s="133">
        <v>845</v>
      </c>
      <c r="C117" s="133">
        <v>85</v>
      </c>
      <c r="D117" s="134" t="s">
        <v>132</v>
      </c>
      <c r="E117" s="96"/>
      <c r="F117" s="97"/>
      <c r="G117" s="61">
        <f>HLOOKUP('2. Notes and Assumptions'!$C$16,$L$4:$O$187,ROWS($L$4:L117),FALSE)</f>
        <v>5</v>
      </c>
      <c r="H117" s="61">
        <f t="shared" si="5"/>
        <v>5</v>
      </c>
      <c r="I117" s="129">
        <v>3</v>
      </c>
      <c r="J117" s="127">
        <v>450000</v>
      </c>
      <c r="L117" s="127">
        <v>66</v>
      </c>
      <c r="M117" s="127">
        <v>34.086098305848942</v>
      </c>
      <c r="N117" s="127">
        <v>5</v>
      </c>
      <c r="O117" s="127">
        <v>5</v>
      </c>
      <c r="T117" s="62">
        <f t="shared" si="6"/>
        <v>0</v>
      </c>
      <c r="U117" s="62">
        <f t="shared" si="7"/>
        <v>0</v>
      </c>
      <c r="V117" s="62">
        <f t="shared" si="8"/>
        <v>0</v>
      </c>
      <c r="W117" s="62">
        <f t="shared" si="9"/>
        <v>0</v>
      </c>
    </row>
    <row r="118" spans="2:23">
      <c r="B118" s="133">
        <v>847</v>
      </c>
      <c r="C118" s="133">
        <v>85</v>
      </c>
      <c r="D118" s="134" t="s">
        <v>132</v>
      </c>
      <c r="E118" s="96"/>
      <c r="F118" s="97"/>
      <c r="G118" s="61">
        <f>HLOOKUP('2. Notes and Assumptions'!$C$16,$L$4:$O$187,ROWS($L$4:L118),FALSE)</f>
        <v>5</v>
      </c>
      <c r="H118" s="61">
        <f t="shared" si="5"/>
        <v>5</v>
      </c>
      <c r="I118" s="129">
        <v>4</v>
      </c>
      <c r="J118" s="127">
        <v>450000</v>
      </c>
      <c r="L118" s="127">
        <v>66</v>
      </c>
      <c r="M118" s="127">
        <v>34.086098305848942</v>
      </c>
      <c r="N118" s="127">
        <v>5</v>
      </c>
      <c r="O118" s="127">
        <v>5</v>
      </c>
      <c r="T118" s="62">
        <f t="shared" si="6"/>
        <v>450000</v>
      </c>
      <c r="U118" s="62">
        <f t="shared" si="7"/>
        <v>34.086098305848942</v>
      </c>
      <c r="V118" s="62">
        <f t="shared" si="8"/>
        <v>0</v>
      </c>
      <c r="W118" s="62">
        <f t="shared" si="9"/>
        <v>0</v>
      </c>
    </row>
    <row r="119" spans="2:23">
      <c r="B119" s="133">
        <v>849</v>
      </c>
      <c r="C119" s="133">
        <v>85</v>
      </c>
      <c r="D119" s="134" t="s">
        <v>132</v>
      </c>
      <c r="E119" s="96"/>
      <c r="F119" s="97"/>
      <c r="G119" s="61">
        <f>HLOOKUP('2. Notes and Assumptions'!$C$16,$L$4:$O$187,ROWS($L$4:L119),FALSE)</f>
        <v>5</v>
      </c>
      <c r="H119" s="61">
        <f t="shared" si="5"/>
        <v>5</v>
      </c>
      <c r="I119" s="129">
        <v>5</v>
      </c>
      <c r="J119" s="127">
        <v>450000</v>
      </c>
      <c r="L119" s="127">
        <v>66</v>
      </c>
      <c r="M119" s="127">
        <v>34.086098305848942</v>
      </c>
      <c r="N119" s="127">
        <v>5</v>
      </c>
      <c r="O119" s="127">
        <v>5</v>
      </c>
      <c r="T119" s="62">
        <f t="shared" si="6"/>
        <v>0</v>
      </c>
      <c r="U119" s="62">
        <f t="shared" si="7"/>
        <v>0</v>
      </c>
      <c r="V119" s="62">
        <f t="shared" si="8"/>
        <v>450000</v>
      </c>
      <c r="W119" s="62">
        <f t="shared" si="9"/>
        <v>34.086098305848942</v>
      </c>
    </row>
    <row r="120" spans="2:23">
      <c r="B120" s="133">
        <v>851</v>
      </c>
      <c r="C120" s="133">
        <v>86</v>
      </c>
      <c r="D120" s="134" t="s">
        <v>132</v>
      </c>
      <c r="E120" s="96"/>
      <c r="F120" s="97"/>
      <c r="G120" s="61">
        <f>HLOOKUP('2. Notes and Assumptions'!$C$16,$L$4:$O$187,ROWS($L$4:L120),FALSE)</f>
        <v>5</v>
      </c>
      <c r="H120" s="61">
        <f t="shared" si="5"/>
        <v>5</v>
      </c>
      <c r="I120" s="129">
        <v>1</v>
      </c>
      <c r="J120" s="127">
        <v>495012.7</v>
      </c>
      <c r="L120" s="127">
        <v>66</v>
      </c>
      <c r="M120" s="127">
        <v>34.086098305848942</v>
      </c>
      <c r="N120" s="127">
        <v>5</v>
      </c>
      <c r="O120" s="127">
        <v>5</v>
      </c>
      <c r="T120" s="62">
        <f t="shared" si="6"/>
        <v>0</v>
      </c>
      <c r="U120" s="62">
        <f t="shared" si="7"/>
        <v>0</v>
      </c>
      <c r="V120" s="62">
        <f t="shared" si="8"/>
        <v>0</v>
      </c>
      <c r="W120" s="62">
        <f t="shared" si="9"/>
        <v>0</v>
      </c>
    </row>
    <row r="121" spans="2:23">
      <c r="B121" s="133">
        <v>1091</v>
      </c>
      <c r="C121" s="133">
        <v>110</v>
      </c>
      <c r="D121" s="134" t="s">
        <v>132</v>
      </c>
      <c r="E121" s="96"/>
      <c r="F121" s="97"/>
      <c r="G121" s="61">
        <f>HLOOKUP('2. Notes and Assumptions'!$C$16,$L$4:$O$187,ROWS($L$4:L121),FALSE)</f>
        <v>20</v>
      </c>
      <c r="H121" s="61">
        <f t="shared" si="5"/>
        <v>20</v>
      </c>
      <c r="I121" s="129">
        <v>1</v>
      </c>
      <c r="J121" s="127">
        <v>769424.4700000002</v>
      </c>
      <c r="L121" s="127">
        <v>66</v>
      </c>
      <c r="M121" s="127">
        <v>34.086098305848942</v>
      </c>
      <c r="N121" s="127">
        <v>54.871870848232</v>
      </c>
      <c r="O121" s="127">
        <v>20</v>
      </c>
      <c r="T121" s="62">
        <f t="shared" si="6"/>
        <v>0</v>
      </c>
      <c r="U121" s="62">
        <f t="shared" si="7"/>
        <v>0</v>
      </c>
      <c r="V121" s="62">
        <f t="shared" si="8"/>
        <v>0</v>
      </c>
      <c r="W121" s="62">
        <f t="shared" si="9"/>
        <v>0</v>
      </c>
    </row>
    <row r="122" spans="2:23">
      <c r="B122" s="133">
        <v>1093</v>
      </c>
      <c r="C122" s="133">
        <v>110</v>
      </c>
      <c r="D122" s="134" t="s">
        <v>132</v>
      </c>
      <c r="E122" s="96"/>
      <c r="F122" s="97"/>
      <c r="G122" s="61">
        <f>HLOOKUP('2. Notes and Assumptions'!$C$16,$L$4:$O$187,ROWS($L$4:L122),FALSE)</f>
        <v>20</v>
      </c>
      <c r="H122" s="61">
        <f t="shared" si="5"/>
        <v>20</v>
      </c>
      <c r="I122" s="129">
        <v>2</v>
      </c>
      <c r="J122" s="127">
        <v>488999.66</v>
      </c>
      <c r="L122" s="127">
        <v>66</v>
      </c>
      <c r="M122" s="127">
        <v>34.086098305848942</v>
      </c>
      <c r="N122" s="127">
        <v>54.871870848232</v>
      </c>
      <c r="O122" s="127">
        <v>20</v>
      </c>
      <c r="T122" s="62">
        <f t="shared" si="6"/>
        <v>0</v>
      </c>
      <c r="U122" s="62">
        <f t="shared" si="7"/>
        <v>0</v>
      </c>
      <c r="V122" s="62">
        <f t="shared" si="8"/>
        <v>0</v>
      </c>
      <c r="W122" s="62">
        <f t="shared" si="9"/>
        <v>0</v>
      </c>
    </row>
    <row r="123" spans="2:23">
      <c r="B123" s="133">
        <v>1101</v>
      </c>
      <c r="C123" s="133">
        <v>111</v>
      </c>
      <c r="D123" s="134" t="s">
        <v>132</v>
      </c>
      <c r="E123" s="96"/>
      <c r="F123" s="97"/>
      <c r="G123" s="61">
        <f>HLOOKUP('2. Notes and Assumptions'!$C$16,$L$4:$O$187,ROWS($L$4:L123),FALSE)</f>
        <v>30</v>
      </c>
      <c r="H123" s="61">
        <f t="shared" si="5"/>
        <v>30</v>
      </c>
      <c r="I123" s="129">
        <v>1</v>
      </c>
      <c r="J123" s="127">
        <v>-3148.9900000000007</v>
      </c>
      <c r="L123" s="127">
        <v>66</v>
      </c>
      <c r="M123" s="127">
        <v>34.086098305848942</v>
      </c>
      <c r="N123" s="127">
        <v>54.871870848232</v>
      </c>
      <c r="O123" s="127">
        <v>30</v>
      </c>
      <c r="T123" s="62">
        <f t="shared" si="6"/>
        <v>0</v>
      </c>
      <c r="U123" s="62">
        <f t="shared" si="7"/>
        <v>0</v>
      </c>
      <c r="V123" s="62">
        <f t="shared" si="8"/>
        <v>0</v>
      </c>
      <c r="W123" s="62">
        <f t="shared" si="9"/>
        <v>0</v>
      </c>
    </row>
    <row r="124" spans="2:23">
      <c r="B124" s="133">
        <v>1111</v>
      </c>
      <c r="C124" s="133">
        <v>112</v>
      </c>
      <c r="D124" s="134" t="s">
        <v>132</v>
      </c>
      <c r="E124" s="96"/>
      <c r="F124" s="97"/>
      <c r="G124" s="61">
        <f>HLOOKUP('2. Notes and Assumptions'!$C$16,$L$4:$O$187,ROWS($L$4:L124),FALSE)</f>
        <v>20</v>
      </c>
      <c r="H124" s="61">
        <f t="shared" si="5"/>
        <v>20</v>
      </c>
      <c r="I124" s="129">
        <v>1</v>
      </c>
      <c r="J124" s="127">
        <v>260153.26</v>
      </c>
      <c r="L124" s="127">
        <v>66</v>
      </c>
      <c r="M124" s="127">
        <v>34.086098305848942</v>
      </c>
      <c r="N124" s="127">
        <v>54.871870848232</v>
      </c>
      <c r="O124" s="127">
        <v>20</v>
      </c>
      <c r="T124" s="62">
        <f t="shared" si="6"/>
        <v>0</v>
      </c>
      <c r="U124" s="62">
        <f t="shared" si="7"/>
        <v>0</v>
      </c>
      <c r="V124" s="62">
        <f t="shared" si="8"/>
        <v>0</v>
      </c>
      <c r="W124" s="62">
        <f t="shared" si="9"/>
        <v>0</v>
      </c>
    </row>
    <row r="125" spans="2:23">
      <c r="B125" s="133">
        <v>1121</v>
      </c>
      <c r="C125" s="133">
        <v>113</v>
      </c>
      <c r="D125" s="134" t="s">
        <v>132</v>
      </c>
      <c r="E125" s="96"/>
      <c r="F125" s="97"/>
      <c r="G125" s="61">
        <f>HLOOKUP('2. Notes and Assumptions'!$C$16,$L$4:$O$187,ROWS($L$4:L125),FALSE)</f>
        <v>40</v>
      </c>
      <c r="H125" s="61">
        <f t="shared" si="5"/>
        <v>40</v>
      </c>
      <c r="I125" s="129">
        <v>1</v>
      </c>
      <c r="J125" s="127">
        <v>9476.73</v>
      </c>
      <c r="L125" s="127">
        <v>66</v>
      </c>
      <c r="M125" s="127">
        <v>34.086098305848942</v>
      </c>
      <c r="N125" s="127">
        <v>54.871870848232</v>
      </c>
      <c r="O125" s="127">
        <v>40</v>
      </c>
      <c r="T125" s="62">
        <f t="shared" si="6"/>
        <v>0</v>
      </c>
      <c r="U125" s="62">
        <f t="shared" si="7"/>
        <v>0</v>
      </c>
      <c r="V125" s="62">
        <f t="shared" si="8"/>
        <v>0</v>
      </c>
      <c r="W125" s="62">
        <f t="shared" si="9"/>
        <v>0</v>
      </c>
    </row>
    <row r="126" spans="2:23">
      <c r="B126" s="133">
        <v>1131</v>
      </c>
      <c r="C126" s="133">
        <v>114</v>
      </c>
      <c r="D126" s="134" t="s">
        <v>132</v>
      </c>
      <c r="E126" s="96"/>
      <c r="F126" s="97"/>
      <c r="G126" s="61">
        <f>HLOOKUP('2. Notes and Assumptions'!$C$16,$L$4:$O$187,ROWS($L$4:L126),FALSE)</f>
        <v>30</v>
      </c>
      <c r="H126" s="61">
        <f t="shared" si="5"/>
        <v>30</v>
      </c>
      <c r="I126" s="129">
        <v>1</v>
      </c>
      <c r="J126" s="127">
        <v>50836.240000000005</v>
      </c>
      <c r="L126" s="127">
        <v>66</v>
      </c>
      <c r="M126" s="127">
        <v>34.086098305848942</v>
      </c>
      <c r="N126" s="127">
        <v>54.871870848232</v>
      </c>
      <c r="O126" s="127">
        <v>30</v>
      </c>
      <c r="T126" s="62">
        <f t="shared" si="6"/>
        <v>0</v>
      </c>
      <c r="U126" s="62">
        <f t="shared" si="7"/>
        <v>0</v>
      </c>
      <c r="V126" s="62">
        <f t="shared" si="8"/>
        <v>0</v>
      </c>
      <c r="W126" s="62">
        <f t="shared" si="9"/>
        <v>0</v>
      </c>
    </row>
    <row r="127" spans="2:23">
      <c r="B127" s="133">
        <v>1141</v>
      </c>
      <c r="C127" s="133">
        <v>115</v>
      </c>
      <c r="D127" s="134" t="s">
        <v>132</v>
      </c>
      <c r="E127" s="96"/>
      <c r="F127" s="97"/>
      <c r="G127" s="61">
        <f>HLOOKUP('2. Notes and Assumptions'!$C$16,$L$4:$O$187,ROWS($L$4:L127),FALSE)</f>
        <v>100</v>
      </c>
      <c r="H127" s="61">
        <f t="shared" si="5"/>
        <v>100</v>
      </c>
      <c r="I127" s="129">
        <v>1</v>
      </c>
      <c r="J127" s="127">
        <v>-50136.51</v>
      </c>
      <c r="L127" s="127">
        <v>66</v>
      </c>
      <c r="M127" s="127">
        <v>34.086098305848942</v>
      </c>
      <c r="N127" s="127">
        <v>54.871870848232</v>
      </c>
      <c r="O127" s="127">
        <v>100</v>
      </c>
      <c r="T127" s="62">
        <f t="shared" si="6"/>
        <v>0</v>
      </c>
      <c r="U127" s="62">
        <f t="shared" si="7"/>
        <v>0</v>
      </c>
      <c r="V127" s="62">
        <f t="shared" si="8"/>
        <v>0</v>
      </c>
      <c r="W127" s="62">
        <f t="shared" si="9"/>
        <v>0</v>
      </c>
    </row>
    <row r="128" spans="2:23">
      <c r="B128" s="133">
        <v>1143</v>
      </c>
      <c r="C128" s="133">
        <v>115</v>
      </c>
      <c r="D128" s="134" t="s">
        <v>132</v>
      </c>
      <c r="E128" s="96"/>
      <c r="F128" s="97"/>
      <c r="G128" s="61">
        <f>HLOOKUP('2. Notes and Assumptions'!$C$16,$L$4:$O$187,ROWS($L$4:L128),FALSE)</f>
        <v>100</v>
      </c>
      <c r="H128" s="61">
        <f t="shared" si="5"/>
        <v>100</v>
      </c>
      <c r="I128" s="129">
        <v>2</v>
      </c>
      <c r="J128" s="127">
        <v>409479</v>
      </c>
      <c r="L128" s="127">
        <v>66</v>
      </c>
      <c r="M128" s="127">
        <v>34.086098305848942</v>
      </c>
      <c r="N128" s="127">
        <v>54.871870848232</v>
      </c>
      <c r="O128" s="127">
        <v>100</v>
      </c>
      <c r="T128" s="62">
        <f t="shared" si="6"/>
        <v>0</v>
      </c>
      <c r="U128" s="62">
        <f t="shared" si="7"/>
        <v>0</v>
      </c>
      <c r="V128" s="62">
        <f t="shared" si="8"/>
        <v>0</v>
      </c>
      <c r="W128" s="62">
        <f t="shared" si="9"/>
        <v>0</v>
      </c>
    </row>
    <row r="129" spans="2:23">
      <c r="B129" s="133">
        <v>1151</v>
      </c>
      <c r="C129" s="133">
        <v>116</v>
      </c>
      <c r="D129" s="134" t="s">
        <v>132</v>
      </c>
      <c r="E129" s="96"/>
      <c r="F129" s="97"/>
      <c r="G129" s="61">
        <f>HLOOKUP('2. Notes and Assumptions'!$C$16,$L$4:$O$187,ROWS($L$4:L129),FALSE)</f>
        <v>80</v>
      </c>
      <c r="H129" s="61">
        <f t="shared" si="5"/>
        <v>80</v>
      </c>
      <c r="I129" s="129">
        <v>1</v>
      </c>
      <c r="J129" s="127">
        <v>3174.2599999999998</v>
      </c>
      <c r="L129" s="127">
        <v>66</v>
      </c>
      <c r="M129" s="127">
        <v>34.086098305848942</v>
      </c>
      <c r="N129" s="127">
        <v>54.871870848232</v>
      </c>
      <c r="O129" s="127">
        <v>80</v>
      </c>
      <c r="T129" s="62">
        <f t="shared" si="6"/>
        <v>0</v>
      </c>
      <c r="U129" s="62">
        <f t="shared" si="7"/>
        <v>0</v>
      </c>
      <c r="V129" s="62">
        <f t="shared" si="8"/>
        <v>0</v>
      </c>
      <c r="W129" s="62">
        <f t="shared" si="9"/>
        <v>0</v>
      </c>
    </row>
    <row r="130" spans="2:23">
      <c r="B130" s="133">
        <v>1161</v>
      </c>
      <c r="C130" s="133">
        <v>117</v>
      </c>
      <c r="D130" s="134" t="s">
        <v>132</v>
      </c>
      <c r="E130" s="96"/>
      <c r="F130" s="97"/>
      <c r="G130" s="61">
        <f>HLOOKUP('2. Notes and Assumptions'!$C$16,$L$4:$O$187,ROWS($L$4:L130),FALSE)</f>
        <v>10</v>
      </c>
      <c r="H130" s="61">
        <f t="shared" si="5"/>
        <v>10</v>
      </c>
      <c r="I130" s="129">
        <v>1</v>
      </c>
      <c r="J130" s="127">
        <v>160197.28</v>
      </c>
      <c r="L130" s="127">
        <v>66</v>
      </c>
      <c r="M130" s="127">
        <v>34.086098305848942</v>
      </c>
      <c r="N130" s="127">
        <v>54.871870848232</v>
      </c>
      <c r="O130" s="127">
        <v>10</v>
      </c>
      <c r="T130" s="62">
        <f t="shared" si="6"/>
        <v>0</v>
      </c>
      <c r="U130" s="62">
        <f t="shared" si="7"/>
        <v>0</v>
      </c>
      <c r="V130" s="62">
        <f t="shared" si="8"/>
        <v>0</v>
      </c>
      <c r="W130" s="62">
        <f t="shared" si="9"/>
        <v>0</v>
      </c>
    </row>
    <row r="131" spans="2:23">
      <c r="B131" s="133">
        <v>1163</v>
      </c>
      <c r="C131" s="133">
        <v>117</v>
      </c>
      <c r="D131" s="134" t="s">
        <v>132</v>
      </c>
      <c r="E131" s="96"/>
      <c r="F131" s="97"/>
      <c r="G131" s="61">
        <f>HLOOKUP('2. Notes and Assumptions'!$C$16,$L$4:$O$187,ROWS($L$4:L131),FALSE)</f>
        <v>10</v>
      </c>
      <c r="H131" s="61">
        <f t="shared" si="5"/>
        <v>10</v>
      </c>
      <c r="I131" s="129">
        <v>2</v>
      </c>
      <c r="J131" s="127">
        <v>66823.899999999994</v>
      </c>
      <c r="L131" s="127">
        <v>66</v>
      </c>
      <c r="M131" s="127">
        <v>34.086098305848942</v>
      </c>
      <c r="N131" s="127">
        <v>54.871870848232</v>
      </c>
      <c r="O131" s="127">
        <v>10</v>
      </c>
      <c r="T131" s="62">
        <f t="shared" si="6"/>
        <v>0</v>
      </c>
      <c r="U131" s="62">
        <f t="shared" si="7"/>
        <v>0</v>
      </c>
      <c r="V131" s="62">
        <f t="shared" si="8"/>
        <v>0</v>
      </c>
      <c r="W131" s="62">
        <f t="shared" si="9"/>
        <v>0</v>
      </c>
    </row>
    <row r="132" spans="2:23">
      <c r="B132" s="133">
        <v>1171</v>
      </c>
      <c r="C132" s="133">
        <v>118</v>
      </c>
      <c r="D132" s="134" t="s">
        <v>132</v>
      </c>
      <c r="E132" s="96"/>
      <c r="F132" s="97"/>
      <c r="G132" s="61">
        <f>HLOOKUP('2. Notes and Assumptions'!$C$16,$L$4:$O$187,ROWS($L$4:L132),FALSE)</f>
        <v>40</v>
      </c>
      <c r="H132" s="61">
        <f t="shared" si="5"/>
        <v>40</v>
      </c>
      <c r="I132" s="129">
        <v>1</v>
      </c>
      <c r="J132" s="127">
        <v>261960.7</v>
      </c>
      <c r="L132" s="127">
        <v>66</v>
      </c>
      <c r="M132" s="127">
        <v>34.086098305848942</v>
      </c>
      <c r="N132" s="127">
        <v>54.871870848232</v>
      </c>
      <c r="O132" s="127">
        <v>40</v>
      </c>
      <c r="T132" s="62">
        <f t="shared" si="6"/>
        <v>0</v>
      </c>
      <c r="U132" s="62">
        <f t="shared" si="7"/>
        <v>0</v>
      </c>
      <c r="V132" s="62">
        <f t="shared" si="8"/>
        <v>0</v>
      </c>
      <c r="W132" s="62">
        <f t="shared" si="9"/>
        <v>0</v>
      </c>
    </row>
    <row r="133" spans="2:23">
      <c r="B133" s="133">
        <v>1173</v>
      </c>
      <c r="C133" s="133">
        <v>118</v>
      </c>
      <c r="D133" s="134" t="s">
        <v>132</v>
      </c>
      <c r="E133" s="96"/>
      <c r="F133" s="97"/>
      <c r="G133" s="61">
        <f>HLOOKUP('2. Notes and Assumptions'!$C$16,$L$4:$O$187,ROWS($L$4:L133),FALSE)</f>
        <v>40</v>
      </c>
      <c r="H133" s="61">
        <f t="shared" si="5"/>
        <v>40</v>
      </c>
      <c r="I133" s="129">
        <v>2</v>
      </c>
      <c r="J133" s="127">
        <v>-13278.110000000011</v>
      </c>
      <c r="L133" s="127">
        <v>66</v>
      </c>
      <c r="M133" s="127">
        <v>34.086098305848942</v>
      </c>
      <c r="N133" s="127">
        <v>54.871870848232</v>
      </c>
      <c r="O133" s="127">
        <v>40</v>
      </c>
      <c r="T133" s="62">
        <f t="shared" si="6"/>
        <v>0</v>
      </c>
      <c r="U133" s="62">
        <f t="shared" si="7"/>
        <v>0</v>
      </c>
      <c r="V133" s="62">
        <f t="shared" si="8"/>
        <v>0</v>
      </c>
      <c r="W133" s="62">
        <f t="shared" si="9"/>
        <v>0</v>
      </c>
    </row>
    <row r="134" spans="2:23">
      <c r="B134" s="133">
        <v>1181</v>
      </c>
      <c r="C134" s="133">
        <v>119</v>
      </c>
      <c r="D134" s="134" t="s">
        <v>132</v>
      </c>
      <c r="E134" s="96"/>
      <c r="F134" s="97"/>
      <c r="G134" s="61">
        <f>HLOOKUP('2. Notes and Assumptions'!$C$16,$L$4:$O$187,ROWS($L$4:L134),FALSE)</f>
        <v>30</v>
      </c>
      <c r="H134" s="61">
        <f t="shared" ref="H134:H162" si="10">G134</f>
        <v>30</v>
      </c>
      <c r="I134" s="129">
        <v>1</v>
      </c>
      <c r="J134" s="127">
        <v>-531.6</v>
      </c>
      <c r="L134" s="127">
        <v>66</v>
      </c>
      <c r="M134" s="127">
        <v>34.086098305848942</v>
      </c>
      <c r="N134" s="127">
        <v>54.871870848232</v>
      </c>
      <c r="O134" s="127">
        <v>30</v>
      </c>
      <c r="T134" s="62">
        <f t="shared" ref="T134:T160" si="11">IF($I134=4,J134,0)</f>
        <v>0</v>
      </c>
      <c r="U134" s="62">
        <f t="shared" ref="U134:U160" si="12">IF($I134=4,M134,0)</f>
        <v>0</v>
      </c>
      <c r="V134" s="62">
        <f t="shared" ref="V134:V160" si="13">IF($I134=5,J134,0)</f>
        <v>0</v>
      </c>
      <c r="W134" s="62">
        <f t="shared" ref="W134:W160" si="14">IF($I134=5,M134,0)</f>
        <v>0</v>
      </c>
    </row>
    <row r="135" spans="2:23">
      <c r="B135" s="133">
        <v>1191</v>
      </c>
      <c r="C135" s="133">
        <v>120</v>
      </c>
      <c r="D135" s="134" t="s">
        <v>132</v>
      </c>
      <c r="E135" s="96"/>
      <c r="F135" s="97"/>
      <c r="G135" s="61">
        <f>HLOOKUP('2. Notes and Assumptions'!$C$16,$L$4:$O$187,ROWS($L$4:L135),FALSE)</f>
        <v>30</v>
      </c>
      <c r="H135" s="61">
        <f t="shared" si="10"/>
        <v>30</v>
      </c>
      <c r="I135" s="129">
        <v>1</v>
      </c>
      <c r="J135" s="127">
        <v>19445.509999999998</v>
      </c>
      <c r="L135" s="127">
        <v>66</v>
      </c>
      <c r="M135" s="127">
        <v>34.086098305848942</v>
      </c>
      <c r="N135" s="127">
        <v>54.871870848232</v>
      </c>
      <c r="O135" s="127">
        <v>30</v>
      </c>
      <c r="T135" s="62">
        <f t="shared" si="11"/>
        <v>0</v>
      </c>
      <c r="U135" s="62">
        <f t="shared" si="12"/>
        <v>0</v>
      </c>
      <c r="V135" s="62">
        <f t="shared" si="13"/>
        <v>0</v>
      </c>
      <c r="W135" s="62">
        <f t="shared" si="14"/>
        <v>0</v>
      </c>
    </row>
    <row r="136" spans="2:23">
      <c r="B136" s="133">
        <v>1201</v>
      </c>
      <c r="C136" s="133">
        <v>121</v>
      </c>
      <c r="D136" s="134" t="s">
        <v>132</v>
      </c>
      <c r="E136" s="96"/>
      <c r="F136" s="97"/>
      <c r="G136" s="61">
        <f>HLOOKUP('2. Notes and Assumptions'!$C$16,$L$4:$O$187,ROWS($L$4:L136),FALSE)</f>
        <v>30</v>
      </c>
      <c r="H136" s="61">
        <f t="shared" si="10"/>
        <v>30</v>
      </c>
      <c r="I136" s="129">
        <v>1</v>
      </c>
      <c r="J136" s="127">
        <v>3849</v>
      </c>
      <c r="L136" s="127">
        <v>66</v>
      </c>
      <c r="M136" s="127">
        <v>34.086098305848942</v>
      </c>
      <c r="N136" s="127">
        <v>54.871870848232</v>
      </c>
      <c r="O136" s="127">
        <v>30</v>
      </c>
      <c r="T136" s="62">
        <f t="shared" si="11"/>
        <v>0</v>
      </c>
      <c r="U136" s="62">
        <f t="shared" si="12"/>
        <v>0</v>
      </c>
      <c r="V136" s="62">
        <f t="shared" si="13"/>
        <v>0</v>
      </c>
      <c r="W136" s="62">
        <f t="shared" si="14"/>
        <v>0</v>
      </c>
    </row>
    <row r="137" spans="2:23">
      <c r="B137" s="133">
        <v>1203</v>
      </c>
      <c r="C137" s="133">
        <v>121</v>
      </c>
      <c r="D137" s="134" t="s">
        <v>132</v>
      </c>
      <c r="E137" s="96"/>
      <c r="F137" s="97"/>
      <c r="G137" s="61">
        <f>HLOOKUP('2. Notes and Assumptions'!$C$16,$L$4:$O$187,ROWS($L$4:L137),FALSE)</f>
        <v>30</v>
      </c>
      <c r="H137" s="61">
        <f t="shared" si="10"/>
        <v>30</v>
      </c>
      <c r="I137" s="129">
        <v>2</v>
      </c>
      <c r="J137" s="127">
        <v>1120.33</v>
      </c>
      <c r="L137" s="127">
        <v>66</v>
      </c>
      <c r="M137" s="127">
        <v>34.086098305848942</v>
      </c>
      <c r="N137" s="127">
        <v>54.871870848232</v>
      </c>
      <c r="O137" s="127">
        <v>30</v>
      </c>
      <c r="T137" s="62">
        <f t="shared" si="11"/>
        <v>0</v>
      </c>
      <c r="U137" s="62">
        <f t="shared" si="12"/>
        <v>0</v>
      </c>
      <c r="V137" s="62">
        <f t="shared" si="13"/>
        <v>0</v>
      </c>
      <c r="W137" s="62">
        <f t="shared" si="14"/>
        <v>0</v>
      </c>
    </row>
    <row r="138" spans="2:23">
      <c r="B138" s="133">
        <v>1205</v>
      </c>
      <c r="C138" s="133">
        <v>121</v>
      </c>
      <c r="D138" s="134" t="s">
        <v>132</v>
      </c>
      <c r="E138" s="96"/>
      <c r="F138" s="97"/>
      <c r="G138" s="61">
        <f>HLOOKUP('2. Notes and Assumptions'!$C$16,$L$4:$O$187,ROWS($L$4:L138),FALSE)</f>
        <v>30</v>
      </c>
      <c r="H138" s="61">
        <f t="shared" si="10"/>
        <v>30</v>
      </c>
      <c r="I138" s="129">
        <v>3</v>
      </c>
      <c r="J138" s="127">
        <v>5000</v>
      </c>
      <c r="L138" s="127">
        <v>66</v>
      </c>
      <c r="M138" s="127">
        <v>34.086098305848942</v>
      </c>
      <c r="N138" s="127">
        <v>54.871870848232</v>
      </c>
      <c r="O138" s="127">
        <v>30</v>
      </c>
      <c r="T138" s="62">
        <f t="shared" si="11"/>
        <v>0</v>
      </c>
      <c r="U138" s="62">
        <f t="shared" si="12"/>
        <v>0</v>
      </c>
      <c r="V138" s="62">
        <f t="shared" si="13"/>
        <v>0</v>
      </c>
      <c r="W138" s="62">
        <f t="shared" si="14"/>
        <v>0</v>
      </c>
    </row>
    <row r="139" spans="2:23">
      <c r="B139" s="133">
        <v>1207</v>
      </c>
      <c r="C139" s="133">
        <v>121</v>
      </c>
      <c r="D139" s="134" t="s">
        <v>132</v>
      </c>
      <c r="E139" s="96"/>
      <c r="F139" s="97"/>
      <c r="G139" s="61">
        <f>HLOOKUP('2. Notes and Assumptions'!$C$16,$L$4:$O$187,ROWS($L$4:L139),FALSE)</f>
        <v>30</v>
      </c>
      <c r="H139" s="61">
        <f t="shared" si="10"/>
        <v>30</v>
      </c>
      <c r="I139" s="129">
        <v>4</v>
      </c>
      <c r="J139" s="127">
        <v>5000</v>
      </c>
      <c r="L139" s="127">
        <v>66</v>
      </c>
      <c r="M139" s="127">
        <v>34.086098305848942</v>
      </c>
      <c r="N139" s="127">
        <v>54.871870848232</v>
      </c>
      <c r="O139" s="127">
        <v>30</v>
      </c>
      <c r="T139" s="62">
        <f t="shared" si="11"/>
        <v>5000</v>
      </c>
      <c r="U139" s="62">
        <f t="shared" si="12"/>
        <v>34.086098305848942</v>
      </c>
      <c r="V139" s="62">
        <f t="shared" si="13"/>
        <v>0</v>
      </c>
      <c r="W139" s="62">
        <f t="shared" si="14"/>
        <v>0</v>
      </c>
    </row>
    <row r="140" spans="2:23">
      <c r="B140" s="133">
        <v>1209</v>
      </c>
      <c r="C140" s="133">
        <v>121</v>
      </c>
      <c r="D140" s="134" t="s">
        <v>132</v>
      </c>
      <c r="E140" s="96"/>
      <c r="F140" s="97"/>
      <c r="G140" s="61">
        <f>HLOOKUP('2. Notes and Assumptions'!$C$16,$L$4:$O$187,ROWS($L$4:L140),FALSE)</f>
        <v>30</v>
      </c>
      <c r="H140" s="61">
        <f t="shared" si="10"/>
        <v>30</v>
      </c>
      <c r="I140" s="129">
        <v>5</v>
      </c>
      <c r="J140" s="127">
        <v>5000</v>
      </c>
      <c r="L140" s="127">
        <v>66</v>
      </c>
      <c r="M140" s="127">
        <v>34.086098305848942</v>
      </c>
      <c r="N140" s="127">
        <v>54.871870848232</v>
      </c>
      <c r="O140" s="127">
        <v>30</v>
      </c>
      <c r="T140" s="62">
        <f t="shared" si="11"/>
        <v>0</v>
      </c>
      <c r="U140" s="62">
        <f t="shared" si="12"/>
        <v>0</v>
      </c>
      <c r="V140" s="62">
        <f t="shared" si="13"/>
        <v>5000</v>
      </c>
      <c r="W140" s="62">
        <f t="shared" si="14"/>
        <v>34.086098305848942</v>
      </c>
    </row>
    <row r="141" spans="2:23">
      <c r="B141" s="133">
        <v>1211</v>
      </c>
      <c r="C141" s="133">
        <v>122</v>
      </c>
      <c r="D141" s="134" t="s">
        <v>132</v>
      </c>
      <c r="E141" s="96"/>
      <c r="F141" s="97"/>
      <c r="G141" s="61">
        <f>HLOOKUP('2. Notes and Assumptions'!$C$16,$L$4:$O$187,ROWS($L$4:L141),FALSE)</f>
        <v>40</v>
      </c>
      <c r="H141" s="61">
        <f t="shared" si="10"/>
        <v>40</v>
      </c>
      <c r="I141" s="129">
        <v>1</v>
      </c>
      <c r="J141" s="127">
        <v>321949.7</v>
      </c>
      <c r="L141" s="127">
        <v>66</v>
      </c>
      <c r="M141" s="127">
        <v>34.086098305848942</v>
      </c>
      <c r="N141" s="127">
        <v>54.871870848232</v>
      </c>
      <c r="O141" s="127">
        <v>40</v>
      </c>
      <c r="T141" s="62">
        <f t="shared" si="11"/>
        <v>0</v>
      </c>
      <c r="U141" s="62">
        <f t="shared" si="12"/>
        <v>0</v>
      </c>
      <c r="V141" s="62">
        <f t="shared" si="13"/>
        <v>0</v>
      </c>
      <c r="W141" s="62">
        <f t="shared" si="14"/>
        <v>0</v>
      </c>
    </row>
    <row r="142" spans="2:23">
      <c r="B142" s="133">
        <v>1213</v>
      </c>
      <c r="C142" s="133">
        <v>122</v>
      </c>
      <c r="D142" s="134" t="s">
        <v>132</v>
      </c>
      <c r="E142" s="96"/>
      <c r="F142" s="97"/>
      <c r="G142" s="61">
        <f>HLOOKUP('2. Notes and Assumptions'!$C$16,$L$4:$O$187,ROWS($L$4:L142),FALSE)</f>
        <v>40</v>
      </c>
      <c r="H142" s="61">
        <f t="shared" si="10"/>
        <v>40</v>
      </c>
      <c r="I142" s="129">
        <v>2</v>
      </c>
      <c r="J142" s="127">
        <v>10404.450000000001</v>
      </c>
      <c r="L142" s="127">
        <v>66</v>
      </c>
      <c r="M142" s="127">
        <v>34.086098305848942</v>
      </c>
      <c r="N142" s="127">
        <v>54.871870848232</v>
      </c>
      <c r="O142" s="127">
        <v>40</v>
      </c>
      <c r="T142" s="62">
        <f t="shared" si="11"/>
        <v>0</v>
      </c>
      <c r="U142" s="62">
        <f t="shared" si="12"/>
        <v>0</v>
      </c>
      <c r="V142" s="62">
        <f t="shared" si="13"/>
        <v>0</v>
      </c>
      <c r="W142" s="62">
        <f t="shared" si="14"/>
        <v>0</v>
      </c>
    </row>
    <row r="143" spans="2:23">
      <c r="B143" s="133">
        <v>1221</v>
      </c>
      <c r="C143" s="133">
        <v>123</v>
      </c>
      <c r="D143" s="134" t="s">
        <v>132</v>
      </c>
      <c r="E143" s="96"/>
      <c r="F143" s="97"/>
      <c r="G143" s="61">
        <f>HLOOKUP('2. Notes and Assumptions'!$C$16,$L$4:$O$187,ROWS($L$4:L143),FALSE)</f>
        <v>15</v>
      </c>
      <c r="H143" s="61">
        <f t="shared" si="10"/>
        <v>15</v>
      </c>
      <c r="I143" s="129">
        <v>1</v>
      </c>
      <c r="J143" s="127">
        <v>72851.210000000006</v>
      </c>
      <c r="L143" s="127">
        <v>66</v>
      </c>
      <c r="M143" s="127">
        <v>34.086098305848942</v>
      </c>
      <c r="N143" s="127">
        <v>54.871870848232</v>
      </c>
      <c r="O143" s="127">
        <v>15</v>
      </c>
      <c r="T143" s="62">
        <f t="shared" si="11"/>
        <v>0</v>
      </c>
      <c r="U143" s="62">
        <f t="shared" si="12"/>
        <v>0</v>
      </c>
      <c r="V143" s="62">
        <f t="shared" si="13"/>
        <v>0</v>
      </c>
      <c r="W143" s="62">
        <f t="shared" si="14"/>
        <v>0</v>
      </c>
    </row>
    <row r="144" spans="2:23">
      <c r="B144" s="133">
        <v>1233</v>
      </c>
      <c r="C144" s="133">
        <v>124</v>
      </c>
      <c r="D144" s="134" t="s">
        <v>132</v>
      </c>
      <c r="E144" s="96"/>
      <c r="F144" s="97"/>
      <c r="G144" s="61">
        <f>HLOOKUP('2. Notes and Assumptions'!$C$16,$L$4:$O$187,ROWS($L$4:L144),FALSE)</f>
        <v>80</v>
      </c>
      <c r="H144" s="61">
        <f t="shared" si="10"/>
        <v>80</v>
      </c>
      <c r="I144" s="129">
        <v>2</v>
      </c>
      <c r="J144" s="127">
        <v>123750</v>
      </c>
      <c r="L144" s="127">
        <v>66</v>
      </c>
      <c r="M144" s="127">
        <v>34.086098305848942</v>
      </c>
      <c r="N144" s="127">
        <v>54.871870848232</v>
      </c>
      <c r="O144" s="127">
        <v>80</v>
      </c>
      <c r="T144" s="62">
        <f t="shared" si="11"/>
        <v>0</v>
      </c>
      <c r="U144" s="62">
        <f t="shared" si="12"/>
        <v>0</v>
      </c>
      <c r="V144" s="62">
        <f t="shared" si="13"/>
        <v>0</v>
      </c>
      <c r="W144" s="62">
        <f t="shared" si="14"/>
        <v>0</v>
      </c>
    </row>
    <row r="145" spans="2:23">
      <c r="B145" s="133">
        <v>1241</v>
      </c>
      <c r="C145" s="133">
        <v>125</v>
      </c>
      <c r="D145" s="134" t="s">
        <v>132</v>
      </c>
      <c r="E145" s="96"/>
      <c r="F145" s="97"/>
      <c r="G145" s="61">
        <f>HLOOKUP('2. Notes and Assumptions'!$C$16,$L$4:$O$187,ROWS($L$4:L145),FALSE)</f>
        <v>40</v>
      </c>
      <c r="H145" s="61">
        <f t="shared" si="10"/>
        <v>40</v>
      </c>
      <c r="I145" s="129">
        <v>1</v>
      </c>
      <c r="J145" s="127">
        <v>41937.520000000004</v>
      </c>
      <c r="L145" s="127">
        <v>66</v>
      </c>
      <c r="M145" s="127">
        <v>34.086098305848942</v>
      </c>
      <c r="N145" s="127">
        <v>54.871870848232</v>
      </c>
      <c r="O145" s="127">
        <v>40</v>
      </c>
      <c r="T145" s="62">
        <f t="shared" si="11"/>
        <v>0</v>
      </c>
      <c r="U145" s="62">
        <f t="shared" si="12"/>
        <v>0</v>
      </c>
      <c r="V145" s="62">
        <f t="shared" si="13"/>
        <v>0</v>
      </c>
      <c r="W145" s="62">
        <f t="shared" si="14"/>
        <v>0</v>
      </c>
    </row>
    <row r="146" spans="2:23">
      <c r="B146" s="133">
        <v>1253</v>
      </c>
      <c r="C146" s="133">
        <v>126</v>
      </c>
      <c r="D146" s="134" t="s">
        <v>132</v>
      </c>
      <c r="E146" s="96"/>
      <c r="F146" s="97"/>
      <c r="G146" s="61">
        <f>HLOOKUP('2. Notes and Assumptions'!$C$16,$L$4:$O$187,ROWS($L$4:L146),FALSE)</f>
        <v>60</v>
      </c>
      <c r="H146" s="61">
        <f t="shared" si="10"/>
        <v>60</v>
      </c>
      <c r="I146" s="129">
        <v>2</v>
      </c>
      <c r="J146" s="127">
        <v>270000</v>
      </c>
      <c r="L146" s="127">
        <v>66</v>
      </c>
      <c r="M146" s="127">
        <v>34.086098305848942</v>
      </c>
      <c r="N146" s="127">
        <v>54.871870848232</v>
      </c>
      <c r="O146" s="127">
        <v>60</v>
      </c>
      <c r="T146" s="62">
        <f t="shared" si="11"/>
        <v>0</v>
      </c>
      <c r="U146" s="62">
        <f t="shared" si="12"/>
        <v>0</v>
      </c>
      <c r="V146" s="62">
        <f t="shared" si="13"/>
        <v>0</v>
      </c>
      <c r="W146" s="62">
        <f t="shared" si="14"/>
        <v>0</v>
      </c>
    </row>
    <row r="147" spans="2:23">
      <c r="B147" s="133">
        <v>1263</v>
      </c>
      <c r="C147" s="133">
        <v>127</v>
      </c>
      <c r="D147" s="134" t="s">
        <v>132</v>
      </c>
      <c r="E147" s="96"/>
      <c r="F147" s="97"/>
      <c r="G147" s="61">
        <f>HLOOKUP('2. Notes and Assumptions'!$C$16,$L$4:$O$187,ROWS($L$4:L147),FALSE)</f>
        <v>10</v>
      </c>
      <c r="H147" s="61">
        <f t="shared" si="10"/>
        <v>10</v>
      </c>
      <c r="I147" s="129">
        <v>2</v>
      </c>
      <c r="J147" s="127">
        <v>84999</v>
      </c>
      <c r="L147" s="127">
        <v>66</v>
      </c>
      <c r="M147" s="127">
        <v>34.086098305848942</v>
      </c>
      <c r="N147" s="127">
        <v>54.871870848232</v>
      </c>
      <c r="O147" s="127">
        <v>10</v>
      </c>
      <c r="T147" s="62">
        <f t="shared" si="11"/>
        <v>0</v>
      </c>
      <c r="U147" s="62">
        <f t="shared" si="12"/>
        <v>0</v>
      </c>
      <c r="V147" s="62">
        <f t="shared" si="13"/>
        <v>0</v>
      </c>
      <c r="W147" s="62">
        <f t="shared" si="14"/>
        <v>0</v>
      </c>
    </row>
    <row r="148" spans="2:23">
      <c r="B148" s="133">
        <v>1271</v>
      </c>
      <c r="C148" s="133">
        <v>128</v>
      </c>
      <c r="D148" s="134" t="s">
        <v>132</v>
      </c>
      <c r="E148" s="96"/>
      <c r="F148" s="97"/>
      <c r="G148" s="61">
        <f>HLOOKUP('2. Notes and Assumptions'!$C$16,$L$4:$O$187,ROWS($L$4:L148),FALSE)</f>
        <v>15</v>
      </c>
      <c r="H148" s="61">
        <f t="shared" si="10"/>
        <v>15</v>
      </c>
      <c r="I148" s="129">
        <v>1</v>
      </c>
      <c r="J148" s="127">
        <v>102718.1</v>
      </c>
      <c r="L148" s="127">
        <v>66</v>
      </c>
      <c r="M148" s="127">
        <v>34.086098305848942</v>
      </c>
      <c r="N148" s="127">
        <v>54.871870848232</v>
      </c>
      <c r="O148" s="127">
        <v>15</v>
      </c>
      <c r="T148" s="62">
        <f t="shared" si="11"/>
        <v>0</v>
      </c>
      <c r="U148" s="62">
        <f t="shared" si="12"/>
        <v>0</v>
      </c>
      <c r="V148" s="62">
        <f t="shared" si="13"/>
        <v>0</v>
      </c>
      <c r="W148" s="62">
        <f t="shared" si="14"/>
        <v>0</v>
      </c>
    </row>
    <row r="149" spans="2:23">
      <c r="B149" s="133">
        <v>1273</v>
      </c>
      <c r="C149" s="133">
        <v>128</v>
      </c>
      <c r="D149" s="134" t="s">
        <v>132</v>
      </c>
      <c r="E149" s="96"/>
      <c r="F149" s="97"/>
      <c r="G149" s="61">
        <f>HLOOKUP('2. Notes and Assumptions'!$C$16,$L$4:$O$187,ROWS($L$4:L149),FALSE)</f>
        <v>15</v>
      </c>
      <c r="H149" s="61">
        <f t="shared" si="10"/>
        <v>15</v>
      </c>
      <c r="I149" s="129">
        <v>2</v>
      </c>
      <c r="J149" s="127">
        <v>3455.14</v>
      </c>
      <c r="L149" s="127">
        <v>66</v>
      </c>
      <c r="M149" s="127">
        <v>34.086098305848942</v>
      </c>
      <c r="N149" s="127">
        <v>54.871870848232</v>
      </c>
      <c r="O149" s="127">
        <v>15</v>
      </c>
      <c r="T149" s="62">
        <f t="shared" si="11"/>
        <v>0</v>
      </c>
      <c r="U149" s="62">
        <f t="shared" si="12"/>
        <v>0</v>
      </c>
      <c r="V149" s="62">
        <f t="shared" si="13"/>
        <v>0</v>
      </c>
      <c r="W149" s="62">
        <f t="shared" si="14"/>
        <v>0</v>
      </c>
    </row>
    <row r="150" spans="2:23">
      <c r="B150" s="133">
        <v>1281</v>
      </c>
      <c r="C150" s="133">
        <v>129</v>
      </c>
      <c r="D150" s="134" t="s">
        <v>132</v>
      </c>
      <c r="E150" s="96"/>
      <c r="F150" s="97"/>
      <c r="G150" s="61">
        <f>HLOOKUP('2. Notes and Assumptions'!$C$16,$L$4:$O$187,ROWS($L$4:L150),FALSE)</f>
        <v>40</v>
      </c>
      <c r="H150" s="61">
        <f t="shared" si="10"/>
        <v>40</v>
      </c>
      <c r="I150" s="129">
        <v>1</v>
      </c>
      <c r="J150" s="127">
        <v>158062.97999999998</v>
      </c>
      <c r="L150" s="127">
        <v>66</v>
      </c>
      <c r="M150" s="127">
        <v>34.086098305848942</v>
      </c>
      <c r="N150" s="127">
        <v>54.871870848232</v>
      </c>
      <c r="O150" s="127">
        <v>40</v>
      </c>
      <c r="T150" s="62">
        <f t="shared" si="11"/>
        <v>0</v>
      </c>
      <c r="U150" s="62">
        <f t="shared" si="12"/>
        <v>0</v>
      </c>
      <c r="V150" s="62">
        <f t="shared" si="13"/>
        <v>0</v>
      </c>
      <c r="W150" s="62">
        <f t="shared" si="14"/>
        <v>0</v>
      </c>
    </row>
    <row r="151" spans="2:23">
      <c r="B151" s="133">
        <v>1283</v>
      </c>
      <c r="C151" s="133">
        <v>129</v>
      </c>
      <c r="D151" s="134" t="s">
        <v>132</v>
      </c>
      <c r="E151" s="96"/>
      <c r="F151" s="97"/>
      <c r="G151" s="61">
        <f>HLOOKUP('2. Notes and Assumptions'!$C$16,$L$4:$O$187,ROWS($L$4:L151),FALSE)</f>
        <v>40</v>
      </c>
      <c r="H151" s="61">
        <f t="shared" si="10"/>
        <v>40</v>
      </c>
      <c r="I151" s="129">
        <v>2</v>
      </c>
      <c r="J151" s="127">
        <v>79058.559999999998</v>
      </c>
      <c r="L151" s="127">
        <v>66</v>
      </c>
      <c r="M151" s="127">
        <v>34.086098305848942</v>
      </c>
      <c r="N151" s="127">
        <v>54.871870848232</v>
      </c>
      <c r="O151" s="127">
        <v>40</v>
      </c>
      <c r="T151" s="62">
        <f t="shared" si="11"/>
        <v>0</v>
      </c>
      <c r="U151" s="62">
        <f t="shared" si="12"/>
        <v>0</v>
      </c>
      <c r="V151" s="62">
        <f t="shared" si="13"/>
        <v>0</v>
      </c>
      <c r="W151" s="62">
        <f t="shared" si="14"/>
        <v>0</v>
      </c>
    </row>
    <row r="152" spans="2:23">
      <c r="B152" s="133">
        <v>1291</v>
      </c>
      <c r="C152" s="133">
        <v>130</v>
      </c>
      <c r="D152" s="134" t="s">
        <v>132</v>
      </c>
      <c r="E152" s="96"/>
      <c r="F152" s="97"/>
      <c r="G152" s="61">
        <f>HLOOKUP('2. Notes and Assumptions'!$C$16,$L$4:$O$187,ROWS($L$4:L152),FALSE)</f>
        <v>60</v>
      </c>
      <c r="H152" s="61">
        <f t="shared" si="10"/>
        <v>60</v>
      </c>
      <c r="I152" s="129">
        <v>1</v>
      </c>
      <c r="J152" s="127">
        <v>218415.54</v>
      </c>
      <c r="L152" s="127">
        <v>66</v>
      </c>
      <c r="M152" s="127">
        <v>34.086098305848942</v>
      </c>
      <c r="N152" s="127">
        <v>54.871870848232</v>
      </c>
      <c r="O152" s="127">
        <v>60</v>
      </c>
      <c r="T152" s="62">
        <f t="shared" si="11"/>
        <v>0</v>
      </c>
      <c r="U152" s="62">
        <f t="shared" si="12"/>
        <v>0</v>
      </c>
      <c r="V152" s="62">
        <f t="shared" si="13"/>
        <v>0</v>
      </c>
      <c r="W152" s="62">
        <f t="shared" si="14"/>
        <v>0</v>
      </c>
    </row>
    <row r="153" spans="2:23">
      <c r="B153" s="133">
        <v>1303</v>
      </c>
      <c r="C153" s="133">
        <v>131</v>
      </c>
      <c r="D153" s="134" t="s">
        <v>132</v>
      </c>
      <c r="E153" s="96"/>
      <c r="F153" s="97"/>
      <c r="G153" s="61">
        <f>HLOOKUP('2. Notes and Assumptions'!$C$16,$L$4:$O$187,ROWS($L$4:L153),FALSE)</f>
        <v>60</v>
      </c>
      <c r="H153" s="61">
        <f t="shared" si="10"/>
        <v>60</v>
      </c>
      <c r="I153" s="129">
        <v>2</v>
      </c>
      <c r="J153" s="127">
        <v>136000</v>
      </c>
      <c r="L153" s="127">
        <v>66</v>
      </c>
      <c r="M153" s="127">
        <v>34.086098305848942</v>
      </c>
      <c r="N153" s="127">
        <v>54.871870848232</v>
      </c>
      <c r="O153" s="127">
        <v>60</v>
      </c>
      <c r="T153" s="62">
        <f t="shared" si="11"/>
        <v>0</v>
      </c>
      <c r="U153" s="62">
        <f t="shared" si="12"/>
        <v>0</v>
      </c>
      <c r="V153" s="62">
        <f t="shared" si="13"/>
        <v>0</v>
      </c>
      <c r="W153" s="62">
        <f t="shared" si="14"/>
        <v>0</v>
      </c>
    </row>
    <row r="154" spans="2:23">
      <c r="B154" s="133">
        <v>1313</v>
      </c>
      <c r="C154" s="133">
        <v>132</v>
      </c>
      <c r="D154" s="134" t="s">
        <v>132</v>
      </c>
      <c r="E154" s="96"/>
      <c r="F154" s="97"/>
      <c r="G154" s="61">
        <f>HLOOKUP('2. Notes and Assumptions'!$C$16,$L$4:$O$187,ROWS($L$4:L154),FALSE)</f>
        <v>60</v>
      </c>
      <c r="H154" s="61">
        <f t="shared" si="10"/>
        <v>60</v>
      </c>
      <c r="I154" s="129">
        <v>2</v>
      </c>
      <c r="J154" s="127">
        <v>235000</v>
      </c>
      <c r="L154" s="127">
        <v>66</v>
      </c>
      <c r="M154" s="127">
        <v>34.086098305848942</v>
      </c>
      <c r="N154" s="127">
        <v>54.871870848232</v>
      </c>
      <c r="O154" s="127">
        <v>60</v>
      </c>
      <c r="T154" s="62">
        <f t="shared" si="11"/>
        <v>0</v>
      </c>
      <c r="U154" s="62">
        <f t="shared" si="12"/>
        <v>0</v>
      </c>
      <c r="V154" s="62">
        <f t="shared" si="13"/>
        <v>0</v>
      </c>
      <c r="W154" s="62">
        <f t="shared" si="14"/>
        <v>0</v>
      </c>
    </row>
    <row r="155" spans="2:23">
      <c r="B155" s="133">
        <v>1321</v>
      </c>
      <c r="C155" s="133">
        <v>133</v>
      </c>
      <c r="D155" s="134" t="s">
        <v>132</v>
      </c>
      <c r="E155" s="96"/>
      <c r="F155" s="97"/>
      <c r="G155" s="61">
        <f>HLOOKUP('2. Notes and Assumptions'!$C$16,$L$4:$O$187,ROWS($L$4:L155),FALSE)</f>
        <v>5</v>
      </c>
      <c r="H155" s="61">
        <f t="shared" si="10"/>
        <v>5</v>
      </c>
      <c r="I155" s="129">
        <v>1</v>
      </c>
      <c r="J155" s="127">
        <v>72038.509999999995</v>
      </c>
      <c r="L155" s="127">
        <v>66</v>
      </c>
      <c r="M155" s="127">
        <v>34.086098305848942</v>
      </c>
      <c r="N155" s="127">
        <v>54.871870848232</v>
      </c>
      <c r="O155" s="127">
        <v>5</v>
      </c>
      <c r="T155" s="62">
        <f t="shared" si="11"/>
        <v>0</v>
      </c>
      <c r="U155" s="62">
        <f t="shared" si="12"/>
        <v>0</v>
      </c>
      <c r="V155" s="62">
        <f t="shared" si="13"/>
        <v>0</v>
      </c>
      <c r="W155" s="62">
        <f t="shared" si="14"/>
        <v>0</v>
      </c>
    </row>
    <row r="156" spans="2:23">
      <c r="B156" s="133">
        <v>1323</v>
      </c>
      <c r="C156" s="133">
        <v>133</v>
      </c>
      <c r="D156" s="134" t="s">
        <v>132</v>
      </c>
      <c r="E156" s="96"/>
      <c r="F156" s="97"/>
      <c r="G156" s="61">
        <f>HLOOKUP('2. Notes and Assumptions'!$C$16,$L$4:$O$187,ROWS($L$4:L156),FALSE)</f>
        <v>5</v>
      </c>
      <c r="H156" s="61">
        <f t="shared" si="10"/>
        <v>5</v>
      </c>
      <c r="I156" s="129">
        <v>2</v>
      </c>
      <c r="J156" s="127">
        <v>110224.29</v>
      </c>
      <c r="L156" s="127">
        <v>66</v>
      </c>
      <c r="M156" s="127">
        <v>34.086098305848942</v>
      </c>
      <c r="N156" s="127">
        <v>54.871870848232</v>
      </c>
      <c r="O156" s="127">
        <v>5</v>
      </c>
      <c r="T156" s="62">
        <f t="shared" si="11"/>
        <v>0</v>
      </c>
      <c r="U156" s="62">
        <f t="shared" si="12"/>
        <v>0</v>
      </c>
      <c r="V156" s="62">
        <f t="shared" si="13"/>
        <v>0</v>
      </c>
      <c r="W156" s="62">
        <f t="shared" si="14"/>
        <v>0</v>
      </c>
    </row>
    <row r="157" spans="2:23">
      <c r="B157" s="133">
        <v>1333</v>
      </c>
      <c r="C157" s="133">
        <v>134</v>
      </c>
      <c r="D157" s="134" t="s">
        <v>132</v>
      </c>
      <c r="E157" s="96"/>
      <c r="F157" s="97"/>
      <c r="G157" s="61">
        <f>HLOOKUP('2. Notes and Assumptions'!$C$16,$L$4:$O$187,ROWS($L$4:L157),FALSE)</f>
        <v>20</v>
      </c>
      <c r="H157" s="61">
        <f t="shared" si="10"/>
        <v>20</v>
      </c>
      <c r="I157" s="129">
        <v>2</v>
      </c>
      <c r="J157" s="127">
        <v>500000</v>
      </c>
      <c r="L157" s="127">
        <v>66</v>
      </c>
      <c r="M157" s="127">
        <v>34.086098305848942</v>
      </c>
      <c r="N157" s="127">
        <v>54.871870848232</v>
      </c>
      <c r="O157" s="127">
        <v>20</v>
      </c>
      <c r="T157" s="62">
        <f t="shared" si="11"/>
        <v>0</v>
      </c>
      <c r="U157" s="62">
        <f t="shared" si="12"/>
        <v>0</v>
      </c>
      <c r="V157" s="62">
        <f t="shared" si="13"/>
        <v>0</v>
      </c>
      <c r="W157" s="62">
        <f t="shared" si="14"/>
        <v>0</v>
      </c>
    </row>
    <row r="158" spans="2:23">
      <c r="B158" s="133">
        <v>1341</v>
      </c>
      <c r="C158" s="133">
        <v>135</v>
      </c>
      <c r="D158" s="134" t="s">
        <v>132</v>
      </c>
      <c r="E158" s="96"/>
      <c r="F158" s="97"/>
      <c r="G158" s="61">
        <f>HLOOKUP('2. Notes and Assumptions'!$C$16,$L$4:$O$187,ROWS($L$4:L158),FALSE)</f>
        <v>40</v>
      </c>
      <c r="H158" s="61">
        <f t="shared" si="10"/>
        <v>40</v>
      </c>
      <c r="I158" s="129">
        <v>1</v>
      </c>
      <c r="J158" s="127">
        <v>545128.82000000007</v>
      </c>
      <c r="L158" s="127">
        <v>66</v>
      </c>
      <c r="M158" s="127">
        <v>34.086098305848942</v>
      </c>
      <c r="N158" s="127">
        <v>54.871870848232</v>
      </c>
      <c r="O158" s="127">
        <v>40</v>
      </c>
      <c r="T158" s="62">
        <f t="shared" si="11"/>
        <v>0</v>
      </c>
      <c r="U158" s="62">
        <f t="shared" si="12"/>
        <v>0</v>
      </c>
      <c r="V158" s="62">
        <f t="shared" si="13"/>
        <v>0</v>
      </c>
      <c r="W158" s="62">
        <f t="shared" si="14"/>
        <v>0</v>
      </c>
    </row>
    <row r="159" spans="2:23">
      <c r="B159" s="133">
        <v>1343</v>
      </c>
      <c r="C159" s="133">
        <v>135</v>
      </c>
      <c r="D159" s="134" t="s">
        <v>132</v>
      </c>
      <c r="E159" s="96"/>
      <c r="F159" s="97"/>
      <c r="G159" s="61">
        <f>HLOOKUP('2. Notes and Assumptions'!$C$16,$L$4:$O$187,ROWS($L$4:L159),FALSE)</f>
        <v>40</v>
      </c>
      <c r="H159" s="61">
        <f t="shared" si="10"/>
        <v>40</v>
      </c>
      <c r="I159" s="129">
        <v>2</v>
      </c>
      <c r="J159" s="127">
        <v>1813374.46</v>
      </c>
      <c r="L159" s="127">
        <v>66</v>
      </c>
      <c r="M159" s="127">
        <v>34.086098305848942</v>
      </c>
      <c r="N159" s="127">
        <v>54.871870848232</v>
      </c>
      <c r="O159" s="127">
        <v>40</v>
      </c>
      <c r="T159" s="62">
        <f t="shared" si="11"/>
        <v>0</v>
      </c>
      <c r="U159" s="62">
        <f t="shared" si="12"/>
        <v>0</v>
      </c>
      <c r="V159" s="62">
        <f t="shared" si="13"/>
        <v>0</v>
      </c>
      <c r="W159" s="62">
        <f t="shared" si="14"/>
        <v>0</v>
      </c>
    </row>
    <row r="160" spans="2:23">
      <c r="B160" s="133">
        <v>1353</v>
      </c>
      <c r="C160" s="133">
        <v>136</v>
      </c>
      <c r="D160" s="134" t="s">
        <v>132</v>
      </c>
      <c r="E160" s="96"/>
      <c r="F160" s="97"/>
      <c r="G160" s="61">
        <f>HLOOKUP('2. Notes and Assumptions'!$C$16,$L$4:$O$187,ROWS($L$4:L160),FALSE)</f>
        <v>40</v>
      </c>
      <c r="H160" s="61">
        <f t="shared" si="10"/>
        <v>40</v>
      </c>
      <c r="I160" s="129">
        <v>2</v>
      </c>
      <c r="J160" s="127">
        <v>160000</v>
      </c>
      <c r="L160" s="127">
        <v>66</v>
      </c>
      <c r="M160" s="127">
        <v>34.086098305848942</v>
      </c>
      <c r="N160" s="127">
        <v>54.871870848232</v>
      </c>
      <c r="O160" s="127">
        <v>40</v>
      </c>
      <c r="T160" s="62">
        <f t="shared" si="11"/>
        <v>0</v>
      </c>
      <c r="U160" s="62">
        <f t="shared" si="12"/>
        <v>0</v>
      </c>
      <c r="V160" s="62">
        <f t="shared" si="13"/>
        <v>0</v>
      </c>
      <c r="W160" s="62">
        <f t="shared" si="14"/>
        <v>0</v>
      </c>
    </row>
    <row r="161" spans="1:23">
      <c r="B161" s="133">
        <v>1363</v>
      </c>
      <c r="C161" s="133">
        <v>137</v>
      </c>
      <c r="D161" s="134" t="s">
        <v>132</v>
      </c>
      <c r="E161" s="96"/>
      <c r="F161" s="97"/>
      <c r="G161" s="61">
        <f>HLOOKUP('2. Notes and Assumptions'!$C$16,$L$4:$O$187,ROWS($L$4:L161),FALSE)</f>
        <v>40</v>
      </c>
      <c r="H161" s="61">
        <f t="shared" si="10"/>
        <v>40</v>
      </c>
      <c r="I161" s="129">
        <v>2</v>
      </c>
      <c r="J161" s="127">
        <v>810600.00000000012</v>
      </c>
      <c r="L161" s="127">
        <v>66</v>
      </c>
      <c r="M161" s="127">
        <v>34.086098305848942</v>
      </c>
      <c r="N161" s="127">
        <v>54.871870848232</v>
      </c>
      <c r="O161" s="127">
        <v>40</v>
      </c>
      <c r="T161" s="62">
        <f t="shared" ref="T161:T185" si="15">IF($I161=4,J161,0)</f>
        <v>0</v>
      </c>
      <c r="U161" s="62">
        <f t="shared" ref="U161:U185" si="16">IF($I161=4,M161,0)</f>
        <v>0</v>
      </c>
      <c r="V161" s="62">
        <f t="shared" ref="V161:V185" si="17">IF($I161=5,J161,0)</f>
        <v>0</v>
      </c>
      <c r="W161" s="62">
        <f t="shared" ref="W161:W185" si="18">IF($I161=5,M161,0)</f>
        <v>0</v>
      </c>
    </row>
    <row r="162" spans="1:23" ht="15.75">
      <c r="B162" s="133">
        <v>1373</v>
      </c>
      <c r="C162" s="133">
        <v>138</v>
      </c>
      <c r="D162" s="134" t="s">
        <v>132</v>
      </c>
      <c r="E162" s="96"/>
      <c r="F162" s="97"/>
      <c r="G162" s="61">
        <f>HLOOKUP('2. Notes and Assumptions'!$C$16,$L$4:$O$187,ROWS($L$4:L162),FALSE)</f>
        <v>10</v>
      </c>
      <c r="H162" s="61">
        <f t="shared" si="10"/>
        <v>10</v>
      </c>
      <c r="I162" s="129">
        <v>2</v>
      </c>
      <c r="J162" s="127">
        <v>67500</v>
      </c>
      <c r="L162" s="127">
        <v>66</v>
      </c>
      <c r="M162" s="127">
        <v>34.086098305848942</v>
      </c>
      <c r="N162" s="127">
        <v>15</v>
      </c>
      <c r="O162" s="127">
        <v>10</v>
      </c>
      <c r="Q162" s="57" t="s">
        <v>131</v>
      </c>
      <c r="R162" s="57" t="s">
        <v>131</v>
      </c>
      <c r="T162" s="62">
        <f t="shared" si="15"/>
        <v>0</v>
      </c>
      <c r="U162" s="62">
        <f t="shared" si="16"/>
        <v>0</v>
      </c>
      <c r="V162" s="62">
        <f t="shared" si="17"/>
        <v>0</v>
      </c>
      <c r="W162" s="62">
        <f t="shared" si="18"/>
        <v>0</v>
      </c>
    </row>
    <row r="163" spans="1:23">
      <c r="B163" s="133">
        <v>1383</v>
      </c>
      <c r="C163" s="133">
        <v>139</v>
      </c>
      <c r="D163" s="134" t="s">
        <v>132</v>
      </c>
      <c r="E163" s="96"/>
      <c r="F163" s="97"/>
      <c r="G163" s="61">
        <f>HLOOKUP('2. Notes and Assumptions'!$C$16,$L$4:$O$187,ROWS($L$4:L163),FALSE)</f>
        <v>40</v>
      </c>
      <c r="H163" s="61">
        <f t="shared" ref="H163:H181" si="19">G163</f>
        <v>40</v>
      </c>
      <c r="I163" s="129">
        <v>2</v>
      </c>
      <c r="J163" s="127">
        <v>758332.5</v>
      </c>
      <c r="L163" s="127">
        <v>66</v>
      </c>
      <c r="M163" s="127">
        <v>34.086098305848942</v>
      </c>
      <c r="N163" s="127">
        <v>30</v>
      </c>
      <c r="O163" s="127">
        <v>40</v>
      </c>
      <c r="Q163" s="2" t="s">
        <v>459</v>
      </c>
      <c r="R163" s="2" t="s">
        <v>383</v>
      </c>
      <c r="T163" s="62">
        <f t="shared" si="15"/>
        <v>0</v>
      </c>
      <c r="U163" s="62">
        <f t="shared" si="16"/>
        <v>0</v>
      </c>
      <c r="V163" s="62">
        <f t="shared" si="17"/>
        <v>0</v>
      </c>
      <c r="W163" s="62">
        <f t="shared" si="18"/>
        <v>0</v>
      </c>
    </row>
    <row r="164" spans="1:23">
      <c r="A164" s="35">
        <f>'2. Notes and Assumptions'!B76</f>
        <v>52</v>
      </c>
      <c r="B164" s="133"/>
      <c r="C164" s="133">
        <v>140</v>
      </c>
      <c r="D164" s="134" t="s">
        <v>132</v>
      </c>
      <c r="E164" s="96"/>
      <c r="F164" s="97"/>
      <c r="G164" s="61">
        <f>HLOOKUP('2. Notes and Assumptions'!$C$16,$L$4:$O$187,ROWS($L$4:L164),FALSE)</f>
        <v>150</v>
      </c>
      <c r="H164" s="61">
        <f t="shared" si="19"/>
        <v>150</v>
      </c>
      <c r="I164" s="129">
        <v>1</v>
      </c>
      <c r="J164" s="61">
        <f>HLOOKUP('2. Notes and Assumptions'!$C$17,'11. Water - Capex Input'!$Q$163:$R$187,ROWS('11. Water - Capex Input'!$Q$163:Q164),FALSE)</f>
        <v>5513126.2974667996</v>
      </c>
      <c r="L164" s="127">
        <v>66</v>
      </c>
      <c r="M164" s="127">
        <v>34.086098305848942</v>
      </c>
      <c r="N164" s="127">
        <v>150</v>
      </c>
      <c r="O164" s="127">
        <v>150</v>
      </c>
      <c r="Q164" s="127">
        <v>0</v>
      </c>
      <c r="R164" s="127">
        <v>5513126.2974667996</v>
      </c>
      <c r="T164" s="62">
        <f t="shared" si="15"/>
        <v>0</v>
      </c>
      <c r="U164" s="62">
        <f t="shared" si="16"/>
        <v>0</v>
      </c>
      <c r="V164" s="62">
        <f t="shared" si="17"/>
        <v>0</v>
      </c>
      <c r="W164" s="62">
        <f t="shared" si="18"/>
        <v>0</v>
      </c>
    </row>
    <row r="165" spans="1:23">
      <c r="B165" s="133"/>
      <c r="C165" s="133">
        <v>141</v>
      </c>
      <c r="D165" s="134" t="s">
        <v>132</v>
      </c>
      <c r="E165" s="96"/>
      <c r="F165" s="97"/>
      <c r="G165" s="61">
        <f>HLOOKUP('2. Notes and Assumptions'!$C$16,$L$4:$O$187,ROWS($L$4:L165),FALSE)</f>
        <v>150</v>
      </c>
      <c r="H165" s="61">
        <f t="shared" si="19"/>
        <v>150</v>
      </c>
      <c r="I165" s="129">
        <v>1</v>
      </c>
      <c r="J165" s="61">
        <f>HLOOKUP('2. Notes and Assumptions'!$C$17,'11. Water - Capex Input'!$Q$163:$R$187,ROWS('11. Water - Capex Input'!$Q$163:Q165),FALSE)</f>
        <v>387671.00724703015</v>
      </c>
      <c r="L165" s="127">
        <v>66</v>
      </c>
      <c r="M165" s="127">
        <v>34.086098305848942</v>
      </c>
      <c r="N165" s="127">
        <v>150</v>
      </c>
      <c r="O165" s="127">
        <v>150</v>
      </c>
      <c r="Q165" s="127">
        <v>0</v>
      </c>
      <c r="R165" s="127">
        <v>387671.00724703015</v>
      </c>
      <c r="T165" s="62">
        <f t="shared" si="15"/>
        <v>0</v>
      </c>
      <c r="U165" s="62">
        <f t="shared" si="16"/>
        <v>0</v>
      </c>
      <c r="V165" s="62">
        <f t="shared" si="17"/>
        <v>0</v>
      </c>
      <c r="W165" s="62">
        <f t="shared" si="18"/>
        <v>0</v>
      </c>
    </row>
    <row r="166" spans="1:23">
      <c r="B166" s="133"/>
      <c r="C166" s="133">
        <v>142</v>
      </c>
      <c r="D166" s="134" t="s">
        <v>132</v>
      </c>
      <c r="E166" s="96"/>
      <c r="F166" s="97"/>
      <c r="G166" s="61">
        <f>HLOOKUP('2. Notes and Assumptions'!$C$16,$L$4:$O$187,ROWS($L$4:L166),FALSE)</f>
        <v>30</v>
      </c>
      <c r="H166" s="61">
        <f t="shared" si="19"/>
        <v>30</v>
      </c>
      <c r="I166" s="129">
        <v>1</v>
      </c>
      <c r="J166" s="61">
        <f>HLOOKUP('2. Notes and Assumptions'!$C$17,'11. Water - Capex Input'!$Q$163:$R$187,ROWS('11. Water - Capex Input'!$Q$163:Q166),FALSE)</f>
        <v>105224.98488604407</v>
      </c>
      <c r="L166" s="127">
        <v>66</v>
      </c>
      <c r="M166" s="127">
        <v>34.086098305848942</v>
      </c>
      <c r="N166" s="127">
        <v>30</v>
      </c>
      <c r="O166" s="127">
        <v>30</v>
      </c>
      <c r="Q166" s="127">
        <v>0</v>
      </c>
      <c r="R166" s="127">
        <v>105224.98488604407</v>
      </c>
      <c r="T166" s="62">
        <f t="shared" si="15"/>
        <v>0</v>
      </c>
      <c r="U166" s="62">
        <f t="shared" si="16"/>
        <v>0</v>
      </c>
      <c r="V166" s="62">
        <f t="shared" si="17"/>
        <v>0</v>
      </c>
      <c r="W166" s="62">
        <f t="shared" si="18"/>
        <v>0</v>
      </c>
    </row>
    <row r="167" spans="1:23">
      <c r="B167" s="133"/>
      <c r="C167" s="133">
        <v>143</v>
      </c>
      <c r="D167" s="134" t="s">
        <v>132</v>
      </c>
      <c r="E167" s="96"/>
      <c r="F167" s="97"/>
      <c r="G167" s="61">
        <f>HLOOKUP('2. Notes and Assumptions'!$C$16,$L$4:$O$187,ROWS($L$4:L167),FALSE)</f>
        <v>20</v>
      </c>
      <c r="H167" s="61">
        <f t="shared" si="19"/>
        <v>20</v>
      </c>
      <c r="I167" s="129">
        <v>1</v>
      </c>
      <c r="J167" s="61">
        <f>HLOOKUP('2. Notes and Assumptions'!$C$17,'11. Water - Capex Input'!$Q$163:$R$187,ROWS('11. Water - Capex Input'!$Q$163:Q167),FALSE)</f>
        <v>11076.310869080686</v>
      </c>
      <c r="L167" s="127">
        <v>66</v>
      </c>
      <c r="M167" s="127">
        <v>34.086098305848942</v>
      </c>
      <c r="N167" s="127">
        <v>20</v>
      </c>
      <c r="O167" s="127">
        <v>20</v>
      </c>
      <c r="Q167" s="127">
        <v>0</v>
      </c>
      <c r="R167" s="127">
        <v>11076.310869080686</v>
      </c>
      <c r="T167" s="62">
        <f t="shared" si="15"/>
        <v>0</v>
      </c>
      <c r="U167" s="62">
        <f t="shared" si="16"/>
        <v>0</v>
      </c>
      <c r="V167" s="62">
        <f t="shared" si="17"/>
        <v>0</v>
      </c>
      <c r="W167" s="62">
        <f t="shared" si="18"/>
        <v>0</v>
      </c>
    </row>
    <row r="168" spans="1:23">
      <c r="B168" s="133"/>
      <c r="C168" s="133">
        <v>144</v>
      </c>
      <c r="D168" s="134" t="s">
        <v>132</v>
      </c>
      <c r="E168" s="96"/>
      <c r="F168" s="97"/>
      <c r="G168" s="61">
        <f>HLOOKUP('2. Notes and Assumptions'!$C$16,$L$4:$O$187,ROWS($L$4:L168),FALSE)</f>
        <v>10</v>
      </c>
      <c r="H168" s="61">
        <f t="shared" si="19"/>
        <v>10</v>
      </c>
      <c r="I168" s="129">
        <v>1</v>
      </c>
      <c r="J168" s="61">
        <f>HLOOKUP('2. Notes and Assumptions'!$C$17,'11. Water - Capex Input'!$Q$163:$R$187,ROWS('11. Water - Capex Input'!$Q$163:Q168),FALSE)</f>
        <v>49843.399531054805</v>
      </c>
      <c r="L168" s="127">
        <v>66</v>
      </c>
      <c r="M168" s="127">
        <v>34.086098305848942</v>
      </c>
      <c r="N168" s="127">
        <v>10</v>
      </c>
      <c r="O168" s="127">
        <v>10</v>
      </c>
      <c r="Q168" s="127">
        <v>0</v>
      </c>
      <c r="R168" s="127">
        <v>49843.399531054805</v>
      </c>
      <c r="T168" s="62">
        <f t="shared" si="15"/>
        <v>0</v>
      </c>
      <c r="U168" s="62">
        <f t="shared" si="16"/>
        <v>0</v>
      </c>
      <c r="V168" s="62">
        <f t="shared" si="17"/>
        <v>0</v>
      </c>
      <c r="W168" s="62">
        <f t="shared" si="18"/>
        <v>0</v>
      </c>
    </row>
    <row r="169" spans="1:23">
      <c r="B169" s="133"/>
      <c r="C169" s="133">
        <v>145</v>
      </c>
      <c r="D169" s="134" t="s">
        <v>132</v>
      </c>
      <c r="E169" s="96"/>
      <c r="F169" s="97"/>
      <c r="G169" s="61">
        <f>HLOOKUP('2. Notes and Assumptions'!$C$16,$L$4:$O$187,ROWS($L$4:L169),FALSE)</f>
        <v>20</v>
      </c>
      <c r="H169" s="61">
        <f t="shared" si="19"/>
        <v>20</v>
      </c>
      <c r="I169" s="129">
        <v>1</v>
      </c>
      <c r="J169" s="61">
        <f>HLOOKUP('2. Notes and Assumptions'!$C$17,'11. Water - Capex Input'!$Q$163:$R$187,ROWS('11. Water - Capex Input'!$Q$163:Q169),FALSE)</f>
        <v>6121.9921095218906</v>
      </c>
      <c r="L169" s="127">
        <v>66</v>
      </c>
      <c r="M169" s="127">
        <v>34.086098305848942</v>
      </c>
      <c r="N169" s="127">
        <v>20</v>
      </c>
      <c r="O169" s="127">
        <v>20</v>
      </c>
      <c r="Q169" s="127">
        <v>0</v>
      </c>
      <c r="R169" s="127">
        <v>6121.9921095218906</v>
      </c>
      <c r="T169" s="62">
        <f t="shared" si="15"/>
        <v>0</v>
      </c>
      <c r="U169" s="62">
        <f t="shared" si="16"/>
        <v>0</v>
      </c>
      <c r="V169" s="62">
        <f t="shared" si="17"/>
        <v>0</v>
      </c>
      <c r="W169" s="62">
        <f t="shared" si="18"/>
        <v>0</v>
      </c>
    </row>
    <row r="170" spans="1:23">
      <c r="B170" s="133"/>
      <c r="C170" s="133">
        <v>146</v>
      </c>
      <c r="D170" s="134" t="s">
        <v>132</v>
      </c>
      <c r="E170" s="96"/>
      <c r="F170" s="97"/>
      <c r="G170" s="61">
        <f>HLOOKUP('2. Notes and Assumptions'!$C$16,$L$4:$O$187,ROWS($L$4:L170),FALSE)</f>
        <v>30</v>
      </c>
      <c r="H170" s="61">
        <f t="shared" si="19"/>
        <v>30</v>
      </c>
      <c r="I170" s="129">
        <v>1</v>
      </c>
      <c r="J170" s="61">
        <f>HLOOKUP('2. Notes and Assumptions'!$C$17,'11. Water - Capex Input'!$Q$163:$R$187,ROWS('11. Water - Capex Input'!$Q$163:Q170),FALSE)</f>
        <v>30609.93338148222</v>
      </c>
      <c r="L170" s="127">
        <v>66</v>
      </c>
      <c r="M170" s="127">
        <v>34.086098305848942</v>
      </c>
      <c r="N170" s="127">
        <v>30</v>
      </c>
      <c r="O170" s="127">
        <v>30</v>
      </c>
      <c r="Q170" s="127">
        <v>0</v>
      </c>
      <c r="R170" s="127">
        <v>30609.93338148222</v>
      </c>
      <c r="T170" s="62">
        <f t="shared" si="15"/>
        <v>0</v>
      </c>
      <c r="U170" s="62">
        <f t="shared" si="16"/>
        <v>0</v>
      </c>
      <c r="V170" s="62">
        <f t="shared" si="17"/>
        <v>0</v>
      </c>
      <c r="W170" s="62">
        <f t="shared" si="18"/>
        <v>0</v>
      </c>
    </row>
    <row r="171" spans="1:23">
      <c r="B171" s="133"/>
      <c r="C171" s="133">
        <v>147</v>
      </c>
      <c r="D171" s="134" t="s">
        <v>132</v>
      </c>
      <c r="E171" s="96"/>
      <c r="F171" s="97"/>
      <c r="G171" s="61">
        <f>HLOOKUP('2. Notes and Assumptions'!$C$16,$L$4:$O$187,ROWS($L$4:L171),FALSE)</f>
        <v>30</v>
      </c>
      <c r="H171" s="61">
        <f t="shared" si="19"/>
        <v>30</v>
      </c>
      <c r="I171" s="129">
        <v>1</v>
      </c>
      <c r="J171" s="61">
        <f>HLOOKUP('2. Notes and Assumptions'!$C$17,'11. Water - Capex Input'!$Q$163:$R$187,ROWS('11. Water - Capex Input'!$Q$163:Q171),FALSE)</f>
        <v>27538.241634342947</v>
      </c>
      <c r="L171" s="127">
        <v>66</v>
      </c>
      <c r="M171" s="127">
        <v>34.086098305848942</v>
      </c>
      <c r="N171" s="127">
        <v>30</v>
      </c>
      <c r="O171" s="127">
        <v>30</v>
      </c>
      <c r="Q171" s="127">
        <v>0</v>
      </c>
      <c r="R171" s="127">
        <v>27538.241634342947</v>
      </c>
      <c r="T171" s="62">
        <f t="shared" si="15"/>
        <v>0</v>
      </c>
      <c r="U171" s="62">
        <f t="shared" si="16"/>
        <v>0</v>
      </c>
      <c r="V171" s="62">
        <f t="shared" si="17"/>
        <v>0</v>
      </c>
      <c r="W171" s="62">
        <f t="shared" si="18"/>
        <v>0</v>
      </c>
    </row>
    <row r="172" spans="1:23">
      <c r="B172" s="133"/>
      <c r="C172" s="133">
        <v>148</v>
      </c>
      <c r="D172" s="134" t="s">
        <v>132</v>
      </c>
      <c r="E172" s="96"/>
      <c r="F172" s="97"/>
      <c r="G172" s="61">
        <f>HLOOKUP('2. Notes and Assumptions'!$C$16,$L$4:$O$187,ROWS($L$4:L172),FALSE)</f>
        <v>20</v>
      </c>
      <c r="H172" s="61">
        <f t="shared" si="19"/>
        <v>20</v>
      </c>
      <c r="I172" s="129">
        <v>1</v>
      </c>
      <c r="J172" s="61">
        <f>HLOOKUP('2. Notes and Assumptions'!$C$17,'11. Water - Capex Input'!$Q$163:$R$187,ROWS('11. Water - Capex Input'!$Q$163:Q172),FALSE)</f>
        <v>6121.9866762964439</v>
      </c>
      <c r="L172" s="127">
        <v>66</v>
      </c>
      <c r="M172" s="127">
        <v>34.086098305848942</v>
      </c>
      <c r="N172" s="127">
        <v>20</v>
      </c>
      <c r="O172" s="127">
        <v>20</v>
      </c>
      <c r="Q172" s="127">
        <v>0</v>
      </c>
      <c r="R172" s="127">
        <v>6121.9866762964439</v>
      </c>
      <c r="T172" s="62">
        <f t="shared" si="15"/>
        <v>0</v>
      </c>
      <c r="U172" s="62">
        <f t="shared" si="16"/>
        <v>0</v>
      </c>
      <c r="V172" s="62">
        <f t="shared" si="17"/>
        <v>0</v>
      </c>
      <c r="W172" s="62">
        <f t="shared" si="18"/>
        <v>0</v>
      </c>
    </row>
    <row r="173" spans="1:23">
      <c r="B173" s="133"/>
      <c r="C173" s="133">
        <v>149</v>
      </c>
      <c r="D173" s="134" t="s">
        <v>132</v>
      </c>
      <c r="E173" s="96"/>
      <c r="F173" s="97"/>
      <c r="G173" s="61">
        <f>HLOOKUP('2. Notes and Assumptions'!$C$16,$L$4:$O$187,ROWS($L$4:L173),FALSE)</f>
        <v>20</v>
      </c>
      <c r="H173" s="61">
        <f t="shared" si="19"/>
        <v>20</v>
      </c>
      <c r="I173" s="129">
        <v>1</v>
      </c>
      <c r="J173" s="61">
        <f>HLOOKUP('2. Notes and Assumptions'!$C$17,'11. Water - Capex Input'!$Q$163:$R$187,ROWS('11. Water - Capex Input'!$Q$163:Q173),FALSE)</f>
        <v>9179.4176481074828</v>
      </c>
      <c r="L173" s="127">
        <v>66</v>
      </c>
      <c r="M173" s="127">
        <v>34.086098305848942</v>
      </c>
      <c r="N173" s="127">
        <v>20</v>
      </c>
      <c r="O173" s="127">
        <v>20</v>
      </c>
      <c r="Q173" s="127">
        <v>0</v>
      </c>
      <c r="R173" s="127">
        <v>9179.4176481074828</v>
      </c>
      <c r="T173" s="62">
        <f t="shared" si="15"/>
        <v>0</v>
      </c>
      <c r="U173" s="62">
        <f t="shared" si="16"/>
        <v>0</v>
      </c>
      <c r="V173" s="62">
        <f t="shared" si="17"/>
        <v>0</v>
      </c>
      <c r="W173" s="62">
        <f t="shared" si="18"/>
        <v>0</v>
      </c>
    </row>
    <row r="174" spans="1:23">
      <c r="B174" s="133"/>
      <c r="C174" s="133">
        <v>150</v>
      </c>
      <c r="D174" s="134" t="s">
        <v>132</v>
      </c>
      <c r="E174" s="96"/>
      <c r="F174" s="97"/>
      <c r="G174" s="61">
        <f>HLOOKUP('2. Notes and Assumptions'!$C$16,$L$4:$O$187,ROWS($L$4:L174),FALSE)</f>
        <v>100</v>
      </c>
      <c r="H174" s="61">
        <f t="shared" si="19"/>
        <v>100</v>
      </c>
      <c r="I174" s="129">
        <v>1</v>
      </c>
      <c r="J174" s="61">
        <f>HLOOKUP('2. Notes and Assumptions'!$C$17,'11. Water - Capex Input'!$Q$163:$R$187,ROWS('11. Water - Capex Input'!$Q$163:Q174),FALSE)</f>
        <v>569344.76089556934</v>
      </c>
      <c r="L174" s="127">
        <v>66</v>
      </c>
      <c r="M174" s="127">
        <v>34.086098305848942</v>
      </c>
      <c r="N174" s="127">
        <v>100</v>
      </c>
      <c r="O174" s="127">
        <v>100</v>
      </c>
      <c r="Q174" s="127">
        <v>0</v>
      </c>
      <c r="R174" s="127">
        <v>569344.76089556934</v>
      </c>
      <c r="T174" s="62">
        <f t="shared" si="15"/>
        <v>0</v>
      </c>
      <c r="U174" s="62">
        <f t="shared" si="16"/>
        <v>0</v>
      </c>
      <c r="V174" s="62">
        <f t="shared" si="17"/>
        <v>0</v>
      </c>
      <c r="W174" s="62">
        <f t="shared" si="18"/>
        <v>0</v>
      </c>
    </row>
    <row r="175" spans="1:23">
      <c r="B175" s="133"/>
      <c r="C175" s="133">
        <v>151</v>
      </c>
      <c r="D175" s="134" t="s">
        <v>132</v>
      </c>
      <c r="E175" s="96"/>
      <c r="F175" s="97"/>
      <c r="G175" s="61">
        <f>HLOOKUP('2. Notes and Assumptions'!$C$16,$L$4:$O$187,ROWS($L$4:L175),FALSE)</f>
        <v>100</v>
      </c>
      <c r="H175" s="61">
        <f t="shared" si="19"/>
        <v>100</v>
      </c>
      <c r="I175" s="129">
        <v>1</v>
      </c>
      <c r="J175" s="61">
        <f>HLOOKUP('2. Notes and Assumptions'!$C$17,'11. Water - Capex Input'!$Q$163:$R$187,ROWS('11. Water - Capex Input'!$Q$163:Q175),FALSE)</f>
        <v>100973.55177220026</v>
      </c>
      <c r="L175" s="127">
        <v>66</v>
      </c>
      <c r="M175" s="127">
        <v>34.086098305848942</v>
      </c>
      <c r="N175" s="127">
        <v>100</v>
      </c>
      <c r="O175" s="127">
        <v>100</v>
      </c>
      <c r="Q175" s="127">
        <v>0</v>
      </c>
      <c r="R175" s="127">
        <v>100973.55177220026</v>
      </c>
      <c r="T175" s="62">
        <f t="shared" si="15"/>
        <v>0</v>
      </c>
      <c r="U175" s="62">
        <f t="shared" si="16"/>
        <v>0</v>
      </c>
      <c r="V175" s="62">
        <f t="shared" si="17"/>
        <v>0</v>
      </c>
      <c r="W175" s="62">
        <f t="shared" si="18"/>
        <v>0</v>
      </c>
    </row>
    <row r="176" spans="1:23">
      <c r="B176" s="133"/>
      <c r="C176" s="133">
        <v>152</v>
      </c>
      <c r="D176" s="134" t="s">
        <v>132</v>
      </c>
      <c r="E176" s="96"/>
      <c r="F176" s="97"/>
      <c r="G176" s="61">
        <f>HLOOKUP('2. Notes and Assumptions'!$C$16,$L$4:$O$187,ROWS($L$4:L176),FALSE)</f>
        <v>10</v>
      </c>
      <c r="H176" s="61">
        <f t="shared" si="19"/>
        <v>10</v>
      </c>
      <c r="I176" s="129">
        <v>1</v>
      </c>
      <c r="J176" s="61">
        <f>HLOOKUP('2. Notes and Assumptions'!$C$17,'11. Water - Capex Input'!$Q$163:$R$187,ROWS('11. Water - Capex Input'!$Q$163:Q176),FALSE)</f>
        <v>137691.19431144575</v>
      </c>
      <c r="L176" s="127">
        <v>66</v>
      </c>
      <c r="M176" s="127">
        <v>34.086098305848942</v>
      </c>
      <c r="N176" s="127">
        <v>10</v>
      </c>
      <c r="O176" s="127">
        <v>10</v>
      </c>
      <c r="Q176" s="127">
        <v>0</v>
      </c>
      <c r="R176" s="127">
        <v>137691.19431144575</v>
      </c>
      <c r="T176" s="62">
        <f t="shared" si="15"/>
        <v>0</v>
      </c>
      <c r="U176" s="62">
        <f t="shared" si="16"/>
        <v>0</v>
      </c>
      <c r="V176" s="62">
        <f t="shared" si="17"/>
        <v>0</v>
      </c>
      <c r="W176" s="62">
        <f t="shared" si="18"/>
        <v>0</v>
      </c>
    </row>
    <row r="177" spans="2:23">
      <c r="B177" s="133"/>
      <c r="C177" s="133">
        <v>153</v>
      </c>
      <c r="D177" s="134" t="s">
        <v>132</v>
      </c>
      <c r="E177" s="96"/>
      <c r="F177" s="97"/>
      <c r="G177" s="61">
        <f>HLOOKUP('2. Notes and Assumptions'!$C$16,$L$4:$O$187,ROWS($L$4:L177),FALSE)</f>
        <v>25</v>
      </c>
      <c r="H177" s="61">
        <f t="shared" si="19"/>
        <v>25</v>
      </c>
      <c r="I177" s="129">
        <v>1</v>
      </c>
      <c r="J177" s="61">
        <f>HLOOKUP('2. Notes and Assumptions'!$C$17,'11. Water - Capex Input'!$Q$163:$R$187,ROWS('11. Water - Capex Input'!$Q$163:Q177),FALSE)</f>
        <v>642558.92157103377</v>
      </c>
      <c r="L177" s="127">
        <v>66</v>
      </c>
      <c r="M177" s="127">
        <v>34.086098305848942</v>
      </c>
      <c r="N177" s="127">
        <v>25</v>
      </c>
      <c r="O177" s="127">
        <v>25</v>
      </c>
      <c r="Q177" s="127">
        <v>0</v>
      </c>
      <c r="R177" s="127">
        <v>642558.92157103377</v>
      </c>
      <c r="T177" s="62">
        <f t="shared" si="15"/>
        <v>0</v>
      </c>
      <c r="U177" s="62">
        <f t="shared" si="16"/>
        <v>0</v>
      </c>
      <c r="V177" s="62">
        <f t="shared" si="17"/>
        <v>0</v>
      </c>
      <c r="W177" s="62">
        <f t="shared" si="18"/>
        <v>0</v>
      </c>
    </row>
    <row r="178" spans="2:23">
      <c r="B178" s="133"/>
      <c r="C178" s="133">
        <v>154</v>
      </c>
      <c r="D178" s="134" t="s">
        <v>132</v>
      </c>
      <c r="E178" s="96"/>
      <c r="F178" s="97"/>
      <c r="G178" s="61">
        <f>HLOOKUP('2. Notes and Assumptions'!$C$16,$L$4:$O$187,ROWS($L$4:L178),FALSE)</f>
        <v>150</v>
      </c>
      <c r="H178" s="61">
        <f t="shared" si="19"/>
        <v>150</v>
      </c>
      <c r="I178" s="129">
        <v>1</v>
      </c>
      <c r="J178" s="61">
        <f>HLOOKUP('2. Notes and Assumptions'!$C$17,'11. Water - Capex Input'!$Q$163:$R$187,ROWS('11. Water - Capex Input'!$Q$163:Q178),FALSE)</f>
        <v>479571</v>
      </c>
      <c r="L178" s="127">
        <v>66</v>
      </c>
      <c r="M178" s="127">
        <v>34.086098305848942</v>
      </c>
      <c r="N178" s="127">
        <v>150</v>
      </c>
      <c r="O178" s="127">
        <v>150</v>
      </c>
      <c r="Q178" s="127">
        <v>0</v>
      </c>
      <c r="R178" s="127">
        <v>479571</v>
      </c>
      <c r="T178" s="62">
        <f t="shared" si="15"/>
        <v>0</v>
      </c>
      <c r="U178" s="62">
        <f t="shared" si="16"/>
        <v>0</v>
      </c>
      <c r="V178" s="62">
        <f t="shared" si="17"/>
        <v>0</v>
      </c>
      <c r="W178" s="62">
        <f t="shared" si="18"/>
        <v>0</v>
      </c>
    </row>
    <row r="179" spans="2:23">
      <c r="B179" s="133"/>
      <c r="C179" s="133">
        <v>155</v>
      </c>
      <c r="D179" s="134" t="s">
        <v>132</v>
      </c>
      <c r="E179" s="96"/>
      <c r="F179" s="97"/>
      <c r="G179" s="61">
        <f>HLOOKUP('2. Notes and Assumptions'!$C$16,$L$4:$O$187,ROWS($L$4:L179),FALSE)</f>
        <v>100</v>
      </c>
      <c r="H179" s="61">
        <f t="shared" si="19"/>
        <v>100</v>
      </c>
      <c r="I179" s="129">
        <v>1</v>
      </c>
      <c r="J179" s="61">
        <f>HLOOKUP('2. Notes and Assumptions'!$C$17,'11. Water - Capex Input'!$Q$163:$R$187,ROWS('11. Water - Capex Input'!$Q$163:Q179),FALSE)</f>
        <v>33440.072314549354</v>
      </c>
      <c r="L179" s="127">
        <v>66</v>
      </c>
      <c r="M179" s="127">
        <v>34.086098305848942</v>
      </c>
      <c r="N179" s="127">
        <v>100</v>
      </c>
      <c r="O179" s="127">
        <v>100</v>
      </c>
      <c r="Q179" s="127">
        <v>0</v>
      </c>
      <c r="R179" s="127">
        <v>33440.072314549354</v>
      </c>
      <c r="T179" s="62">
        <f t="shared" si="15"/>
        <v>0</v>
      </c>
      <c r="U179" s="62">
        <f t="shared" si="16"/>
        <v>0</v>
      </c>
      <c r="V179" s="62">
        <f t="shared" si="17"/>
        <v>0</v>
      </c>
      <c r="W179" s="62">
        <f t="shared" si="18"/>
        <v>0</v>
      </c>
    </row>
    <row r="180" spans="2:23">
      <c r="B180" s="133"/>
      <c r="C180" s="133">
        <v>156</v>
      </c>
      <c r="D180" s="134" t="s">
        <v>132</v>
      </c>
      <c r="E180" s="96"/>
      <c r="F180" s="97"/>
      <c r="G180" s="61">
        <f>HLOOKUP('2. Notes and Assumptions'!$C$16,$L$4:$O$187,ROWS($L$4:L180),FALSE)</f>
        <v>80</v>
      </c>
      <c r="H180" s="61">
        <f t="shared" si="19"/>
        <v>80</v>
      </c>
      <c r="I180" s="129">
        <v>1</v>
      </c>
      <c r="J180" s="61">
        <f>HLOOKUP('2. Notes and Assumptions'!$C$17,'11. Water - Capex Input'!$Q$163:$R$187,ROWS('11. Water - Capex Input'!$Q$163:Q180),FALSE)</f>
        <v>257897.65406452466</v>
      </c>
      <c r="L180" s="127">
        <v>66</v>
      </c>
      <c r="M180" s="127">
        <v>34.086098305848942</v>
      </c>
      <c r="N180" s="127">
        <v>80</v>
      </c>
      <c r="O180" s="127">
        <v>80</v>
      </c>
      <c r="Q180" s="127">
        <v>0</v>
      </c>
      <c r="R180" s="127">
        <v>257897.65406452466</v>
      </c>
      <c r="T180" s="62">
        <f t="shared" si="15"/>
        <v>0</v>
      </c>
      <c r="U180" s="62">
        <f t="shared" si="16"/>
        <v>0</v>
      </c>
      <c r="V180" s="62">
        <f t="shared" si="17"/>
        <v>0</v>
      </c>
      <c r="W180" s="62">
        <f t="shared" si="18"/>
        <v>0</v>
      </c>
    </row>
    <row r="181" spans="2:23">
      <c r="B181" s="133"/>
      <c r="C181" s="133">
        <v>157</v>
      </c>
      <c r="D181" s="134" t="s">
        <v>132</v>
      </c>
      <c r="E181" s="96"/>
      <c r="F181" s="97"/>
      <c r="G181" s="61">
        <f>HLOOKUP('2. Notes and Assumptions'!$C$16,$L$4:$O$187,ROWS($L$4:L181),FALSE)</f>
        <v>60</v>
      </c>
      <c r="H181" s="61">
        <f t="shared" si="19"/>
        <v>60</v>
      </c>
      <c r="I181" s="129">
        <v>1</v>
      </c>
      <c r="J181" s="61">
        <f>HLOOKUP('2. Notes and Assumptions'!$C$17,'11. Water - Capex Input'!$Q$163:$R$187,ROWS('11. Water - Capex Input'!$Q$163:Q181),FALSE)</f>
        <v>66462.146166532737</v>
      </c>
      <c r="L181" s="127">
        <v>66</v>
      </c>
      <c r="M181" s="127">
        <v>34.086098305848942</v>
      </c>
      <c r="N181" s="127">
        <v>60</v>
      </c>
      <c r="O181" s="127">
        <v>60</v>
      </c>
      <c r="Q181" s="127">
        <v>0</v>
      </c>
      <c r="R181" s="127">
        <v>66462.146166532737</v>
      </c>
      <c r="T181" s="62">
        <f t="shared" si="15"/>
        <v>0</v>
      </c>
      <c r="U181" s="62">
        <f t="shared" si="16"/>
        <v>0</v>
      </c>
      <c r="V181" s="62">
        <f t="shared" si="17"/>
        <v>0</v>
      </c>
      <c r="W181" s="62">
        <f t="shared" si="18"/>
        <v>0</v>
      </c>
    </row>
    <row r="182" spans="2:23">
      <c r="B182" s="133"/>
      <c r="C182" s="133">
        <v>158</v>
      </c>
      <c r="D182" s="134" t="s">
        <v>132</v>
      </c>
      <c r="E182" s="96"/>
      <c r="F182" s="97"/>
      <c r="G182" s="61">
        <f>HLOOKUP('2. Notes and Assumptions'!$C$16,$L$4:$O$187,ROWS($L$4:L182),FALSE)</f>
        <v>30</v>
      </c>
      <c r="H182" s="61">
        <f t="shared" ref="H182:H187" si="20">G182</f>
        <v>30</v>
      </c>
      <c r="I182" s="129">
        <v>1</v>
      </c>
      <c r="J182" s="61">
        <f>HLOOKUP('2. Notes and Assumptions'!$C$17,'11. Water - Capex Input'!$Q$163:$R$187,ROWS('11. Water - Capex Input'!$Q$163:Q182),FALSE)</f>
        <v>29469.063727196619</v>
      </c>
      <c r="L182" s="127">
        <v>66</v>
      </c>
      <c r="M182" s="127">
        <v>34.086098305848942</v>
      </c>
      <c r="N182" s="127">
        <v>30</v>
      </c>
      <c r="O182" s="127">
        <v>30</v>
      </c>
      <c r="Q182" s="127">
        <v>0</v>
      </c>
      <c r="R182" s="127">
        <v>29469.063727196619</v>
      </c>
      <c r="T182" s="62">
        <f t="shared" si="15"/>
        <v>0</v>
      </c>
      <c r="U182" s="62">
        <f t="shared" si="16"/>
        <v>0</v>
      </c>
      <c r="V182" s="62">
        <f t="shared" si="17"/>
        <v>0</v>
      </c>
      <c r="W182" s="62">
        <f t="shared" si="18"/>
        <v>0</v>
      </c>
    </row>
    <row r="183" spans="2:23">
      <c r="B183" s="133"/>
      <c r="C183" s="133">
        <v>159</v>
      </c>
      <c r="D183" s="134" t="s">
        <v>132</v>
      </c>
      <c r="E183" s="96"/>
      <c r="F183" s="97"/>
      <c r="G183" s="61">
        <f>HLOOKUP('2. Notes and Assumptions'!$C$16,$L$4:$O$187,ROWS($L$4:L183),FALSE)</f>
        <v>30</v>
      </c>
      <c r="H183" s="61">
        <f t="shared" si="20"/>
        <v>30</v>
      </c>
      <c r="I183" s="129">
        <v>1</v>
      </c>
      <c r="J183" s="61">
        <f>HLOOKUP('2. Notes and Assumptions'!$C$17,'11. Water - Capex Input'!$Q$163:$R$187,ROWS('11. Water - Capex Input'!$Q$163:Q183),FALSE)</f>
        <v>29469.063727196619</v>
      </c>
      <c r="L183" s="127">
        <v>66</v>
      </c>
      <c r="M183" s="127">
        <v>34.086098305848942</v>
      </c>
      <c r="N183" s="127">
        <v>30</v>
      </c>
      <c r="O183" s="127">
        <v>30</v>
      </c>
      <c r="Q183" s="127">
        <v>0</v>
      </c>
      <c r="R183" s="127">
        <v>29469.063727196619</v>
      </c>
      <c r="T183" s="62">
        <f t="shared" si="15"/>
        <v>0</v>
      </c>
      <c r="U183" s="62">
        <f t="shared" si="16"/>
        <v>0</v>
      </c>
      <c r="V183" s="62">
        <f t="shared" si="17"/>
        <v>0</v>
      </c>
      <c r="W183" s="62">
        <f t="shared" si="18"/>
        <v>0</v>
      </c>
    </row>
    <row r="184" spans="2:23">
      <c r="B184" s="133"/>
      <c r="C184" s="133">
        <v>160</v>
      </c>
      <c r="D184" s="134" t="s">
        <v>132</v>
      </c>
      <c r="E184" s="96"/>
      <c r="F184" s="97"/>
      <c r="G184" s="61">
        <f>HLOOKUP('2. Notes and Assumptions'!$C$16,$L$4:$O$187,ROWS($L$4:L184),FALSE)</f>
        <v>80</v>
      </c>
      <c r="H184" s="61">
        <f t="shared" si="20"/>
        <v>80</v>
      </c>
      <c r="I184" s="129">
        <v>1</v>
      </c>
      <c r="J184" s="61">
        <f>HLOOKUP('2. Notes and Assumptions'!$C$17,'11. Water - Capex Input'!$Q$163:$R$187,ROWS('11. Water - Capex Input'!$Q$163:Q184),FALSE)</f>
        <v>83461</v>
      </c>
      <c r="L184" s="127">
        <v>66</v>
      </c>
      <c r="M184" s="127">
        <v>34.086098305848942</v>
      </c>
      <c r="N184" s="127">
        <v>80</v>
      </c>
      <c r="O184" s="127">
        <v>80</v>
      </c>
      <c r="Q184" s="127">
        <v>0</v>
      </c>
      <c r="R184" s="127">
        <v>83461</v>
      </c>
      <c r="T184" s="62">
        <f t="shared" si="15"/>
        <v>0</v>
      </c>
      <c r="U184" s="62">
        <f t="shared" si="16"/>
        <v>0</v>
      </c>
      <c r="V184" s="62">
        <f t="shared" si="17"/>
        <v>0</v>
      </c>
      <c r="W184" s="62">
        <f t="shared" si="18"/>
        <v>0</v>
      </c>
    </row>
    <row r="185" spans="2:23">
      <c r="B185" s="133"/>
      <c r="C185" s="133">
        <v>161</v>
      </c>
      <c r="D185" s="134" t="s">
        <v>132</v>
      </c>
      <c r="E185" s="96"/>
      <c r="F185" s="97"/>
      <c r="G185" s="61">
        <f>HLOOKUP('2. Notes and Assumptions'!$C$16,$L$4:$O$187,ROWS($L$4:L185),FALSE)</f>
        <v>10</v>
      </c>
      <c r="H185" s="61">
        <f t="shared" si="20"/>
        <v>10</v>
      </c>
      <c r="I185" s="129">
        <v>1</v>
      </c>
      <c r="J185" s="61">
        <f>HLOOKUP('2. Notes and Assumptions'!$C$17,'11. Water - Capex Input'!$Q$163:$R$187,ROWS('11. Water - Capex Input'!$Q$163:Q185),FALSE)</f>
        <v>103772.81</v>
      </c>
      <c r="L185" s="127">
        <v>66</v>
      </c>
      <c r="M185" s="127">
        <v>34.086098305848942</v>
      </c>
      <c r="N185" s="127">
        <v>10</v>
      </c>
      <c r="O185" s="127">
        <v>10</v>
      </c>
      <c r="Q185" s="127">
        <v>0</v>
      </c>
      <c r="R185" s="127">
        <v>103772.81</v>
      </c>
      <c r="T185" s="62">
        <f t="shared" si="15"/>
        <v>0</v>
      </c>
      <c r="U185" s="62">
        <f t="shared" si="16"/>
        <v>0</v>
      </c>
      <c r="V185" s="62">
        <f t="shared" si="17"/>
        <v>0</v>
      </c>
      <c r="W185" s="62">
        <f t="shared" si="18"/>
        <v>0</v>
      </c>
    </row>
    <row r="186" spans="2:23">
      <c r="B186" s="133"/>
      <c r="C186" s="133">
        <v>162</v>
      </c>
      <c r="D186" s="134" t="s">
        <v>132</v>
      </c>
      <c r="E186" s="134"/>
      <c r="F186" s="129" t="s">
        <v>380</v>
      </c>
      <c r="G186" s="61">
        <f>HLOOKUP('2. Notes and Assumptions'!$C$16,$L$4:$O$187,ROWS($L$4:L186),FALSE)</f>
        <v>34.086098305848935</v>
      </c>
      <c r="H186" s="61">
        <f t="shared" si="20"/>
        <v>34.086098305848935</v>
      </c>
      <c r="I186" s="129">
        <v>4</v>
      </c>
      <c r="J186" s="61">
        <f>HLOOKUP('2. Notes and Assumptions'!$C$18,'11. Water - Capex Input'!$Q$163:$R$187,ROWS('11. Water - Capex Input'!$Q$163:Q186),FALSE)</f>
        <v>-2080841.3054067653</v>
      </c>
      <c r="L186" s="127">
        <v>66</v>
      </c>
      <c r="M186" s="127">
        <v>34.086098305848942</v>
      </c>
      <c r="N186" s="127">
        <f>O186</f>
        <v>34.086098305848935</v>
      </c>
      <c r="O186" s="127">
        <f>'4. Cardno Capex Reduction'!E4</f>
        <v>34.086098305848935</v>
      </c>
      <c r="Q186" s="127">
        <v>0</v>
      </c>
      <c r="R186" s="30">
        <f>'4. Cardno Capex Reduction'!D4</f>
        <v>-2080841.3054067653</v>
      </c>
      <c r="T186" s="2"/>
      <c r="U186" s="2"/>
      <c r="V186" s="2"/>
      <c r="W186" s="2"/>
    </row>
    <row r="187" spans="2:23">
      <c r="B187" s="133"/>
      <c r="C187" s="133">
        <v>163</v>
      </c>
      <c r="D187" s="134" t="s">
        <v>132</v>
      </c>
      <c r="E187" s="134"/>
      <c r="F187" s="129" t="s">
        <v>381</v>
      </c>
      <c r="G187" s="61">
        <f>HLOOKUP('2. Notes and Assumptions'!$C$16,$L$4:$O$187,ROWS($L$4:L187),FALSE)</f>
        <v>34.086098305848942</v>
      </c>
      <c r="H187" s="61">
        <f t="shared" si="20"/>
        <v>34.086098305848942</v>
      </c>
      <c r="I187" s="129">
        <v>5</v>
      </c>
      <c r="J187" s="61">
        <f>HLOOKUP('2. Notes and Assumptions'!$C$18,'11. Water - Capex Input'!$Q$163:$R$187,ROWS('11. Water - Capex Input'!$Q$163:Q187),FALSE)</f>
        <v>-3754256.6513461662</v>
      </c>
      <c r="L187" s="127">
        <v>66</v>
      </c>
      <c r="M187" s="127">
        <v>34.086098305848942</v>
      </c>
      <c r="N187" s="127">
        <f>O187</f>
        <v>34.086098305848942</v>
      </c>
      <c r="O187" s="127">
        <f>'4. Cardno Capex Reduction'!E9</f>
        <v>34.086098305848942</v>
      </c>
      <c r="Q187" s="127">
        <v>0</v>
      </c>
      <c r="R187" s="30">
        <f>'4. Cardno Capex Reduction'!D9</f>
        <v>-3754256.6513461662</v>
      </c>
      <c r="T187" s="2"/>
      <c r="U187" s="2"/>
      <c r="V187" s="2"/>
      <c r="W187" s="2"/>
    </row>
  </sheetData>
  <phoneticPr fontId="7" type="noConversion"/>
  <pageMargins left="0" right="0" top="0" bottom="0" header="0" footer="0"/>
  <pageSetup paperSize="9" scale="80"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3" stopIfTrue="1" id="{13F272DB-31CE-0E4B-861C-244F8DD72B3B}">
            <xm:f>'2. Notes and Assumptions'!$D$92="ERROR"</xm:f>
            <x14:dxf>
              <font>
                <color theme="0"/>
              </font>
              <fill>
                <patternFill patternType="solid">
                  <fgColor indexed="64"/>
                  <bgColor rgb="FFFF0000"/>
                </patternFill>
              </fill>
            </x14:dxf>
          </x14:cfRule>
          <x14:cfRule type="expression" priority="4" id="{7939F7F3-6EE9-9D46-A90A-37457953DFC3}">
            <xm:f>'2. Notes and Assumptions'!$D$103="ERROR"</xm:f>
            <x14:dxf>
              <font>
                <strike val="0"/>
                <color rgb="FF000090"/>
              </font>
              <fill>
                <patternFill patternType="darkGrid">
                  <fgColor theme="0"/>
                  <bgColor rgb="FFFF6600"/>
                </patternFill>
              </fill>
            </x14:dxf>
          </x14:cfRule>
          <xm:sqref>A1:XFD1 A1:A163 A165:A1048576</xm:sqref>
        </x14:conditionalFormatting>
        <x14:conditionalFormatting xmlns:xm="http://schemas.microsoft.com/office/excel/2006/main">
          <x14:cfRule type="expression" priority="1" stopIfTrue="1" id="{DF0A9A03-0E61-4544-8DD5-746BB05F850A}">
            <xm:f>'2. Notes and Assumptions'!$D$92="ERROR"</xm:f>
            <x14:dxf>
              <font>
                <color theme="0"/>
              </font>
              <fill>
                <patternFill patternType="solid">
                  <fgColor indexed="64"/>
                  <bgColor rgb="FFFF0000"/>
                </patternFill>
              </fill>
            </x14:dxf>
          </x14:cfRule>
          <x14:cfRule type="expression" priority="2" id="{3175D4FC-591E-3648-B84D-CBDAB8B10C1E}">
            <xm:f>'2. Notes and Assumptions'!$D$103="ERROR"</xm:f>
            <x14:dxf>
              <font>
                <strike val="0"/>
                <color rgb="FF000090"/>
              </font>
              <fill>
                <patternFill patternType="darkGrid">
                  <fgColor theme="0"/>
                  <bgColor rgb="FFFF6600"/>
                </patternFill>
              </fill>
            </x14:dxf>
          </x14:cfRule>
          <xm:sqref>A164</xm:sqref>
        </x14:conditionalFormatting>
      </x14:conditionalFormattings>
    </ex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sheetPr codeName="Sheet7"/>
  <dimension ref="A1:H249"/>
  <sheetViews>
    <sheetView zoomScaleNormal="100" workbookViewId="0">
      <pane ySplit="4" topLeftCell="A5" activePane="bottomLeft" state="frozen"/>
      <selection activeCell="A58" sqref="A58"/>
      <selection pane="bottomLeft" activeCell="B18" sqref="B18"/>
    </sheetView>
  </sheetViews>
  <sheetFormatPr defaultColWidth="10.6640625" defaultRowHeight="15"/>
  <cols>
    <col min="1" max="1" width="30.6640625" style="35" customWidth="1"/>
    <col min="2" max="2" width="49.33203125" style="2" customWidth="1"/>
    <col min="3" max="3" width="9.21875" style="2" customWidth="1"/>
    <col min="4" max="4" width="15.33203125" style="2" customWidth="1"/>
    <col min="5" max="8" width="15.88671875" style="2" customWidth="1"/>
    <col min="9" max="16384" width="10.6640625" style="2"/>
  </cols>
  <sheetData>
    <row r="1" spans="1:8" s="6" customFormat="1" ht="18.75" customHeight="1">
      <c r="A1" s="92" t="s">
        <v>115</v>
      </c>
      <c r="B1" s="92"/>
      <c r="C1" s="92"/>
      <c r="D1" s="92"/>
      <c r="E1" s="92"/>
      <c r="F1" s="92"/>
      <c r="G1" s="92"/>
    </row>
    <row r="2" spans="1:8" ht="18" customHeight="1">
      <c r="A2" s="3" t="str">
        <f ca="1">MID(CELL("filename",A1),FIND("]",CELL("filename",A1))+1,LEN(CELL("filename",A1))-FIND("]",CELL("filename",A1)))</f>
        <v>12. Water - Existing Assets RAB</v>
      </c>
      <c r="B2" s="3"/>
      <c r="C2" s="3"/>
      <c r="D2" s="3"/>
      <c r="E2" s="3"/>
      <c r="F2" s="3"/>
      <c r="G2" s="3"/>
    </row>
    <row r="3" spans="1:8" s="6" customFormat="1">
      <c r="A3" s="35"/>
      <c r="B3" s="63"/>
      <c r="C3" s="16" t="s">
        <v>0</v>
      </c>
      <c r="D3" s="17">
        <v>1</v>
      </c>
      <c r="E3" s="17">
        <v>2</v>
      </c>
      <c r="F3" s="17">
        <v>3</v>
      </c>
      <c r="G3" s="17">
        <v>4</v>
      </c>
      <c r="H3" s="17">
        <v>5</v>
      </c>
    </row>
    <row r="4" spans="1:8" s="6" customFormat="1">
      <c r="A4" s="35"/>
      <c r="B4" s="65"/>
      <c r="C4" s="18" t="s">
        <v>1</v>
      </c>
      <c r="D4" s="19" t="s">
        <v>10</v>
      </c>
      <c r="E4" s="19" t="s">
        <v>11</v>
      </c>
      <c r="F4" s="19" t="s">
        <v>2</v>
      </c>
      <c r="G4" s="19" t="s">
        <v>3</v>
      </c>
      <c r="H4" s="19" t="s">
        <v>4</v>
      </c>
    </row>
    <row r="5" spans="1:8" ht="15.75">
      <c r="B5" s="10" t="s">
        <v>19</v>
      </c>
    </row>
    <row r="6" spans="1:8">
      <c r="B6" s="2" t="s">
        <v>20</v>
      </c>
      <c r="D6" s="67">
        <f ca="1">'3. General Model Inputs'!E8</f>
        <v>2.5000000000000001E-2</v>
      </c>
      <c r="E6" s="67">
        <f ca="1">'3. General Model Inputs'!F8</f>
        <v>2.5000000000000001E-2</v>
      </c>
      <c r="F6" s="67">
        <f ca="1">'3. General Model Inputs'!G8</f>
        <v>2.5000000000000001E-2</v>
      </c>
      <c r="G6" s="67">
        <f ca="1">'3. General Model Inputs'!H8</f>
        <v>2.5000000000000001E-2</v>
      </c>
      <c r="H6" s="67">
        <f ca="1">'3. General Model Inputs'!I8</f>
        <v>2.5000000000000001E-2</v>
      </c>
    </row>
    <row r="8" spans="1:8" ht="15.75">
      <c r="B8" s="10" t="s">
        <v>121</v>
      </c>
    </row>
    <row r="9" spans="1:8">
      <c r="B9" s="6" t="s">
        <v>27</v>
      </c>
      <c r="D9" s="46">
        <f>D64</f>
        <v>1369801734.2546837</v>
      </c>
      <c r="E9" s="46">
        <f ca="1">E64</f>
        <v>1379892156.8105283</v>
      </c>
      <c r="F9" s="46">
        <f ca="1">F64</f>
        <v>1389630974.4102578</v>
      </c>
      <c r="G9" s="46">
        <f ca="1">G64</f>
        <v>1398994300.2919662</v>
      </c>
      <c r="H9" s="46">
        <f ca="1">H64</f>
        <v>1407957273.1087544</v>
      </c>
    </row>
    <row r="10" spans="1:8">
      <c r="B10" s="6"/>
      <c r="D10" s="46"/>
      <c r="E10" s="46"/>
      <c r="F10" s="46"/>
      <c r="G10" s="46"/>
      <c r="H10" s="46"/>
    </row>
    <row r="11" spans="1:8">
      <c r="B11" s="6" t="s">
        <v>12</v>
      </c>
      <c r="D11" s="46">
        <f ca="1">D112</f>
        <v>34245043.356367081</v>
      </c>
      <c r="E11" s="46">
        <f ca="1">E112</f>
        <v>34497303.920263216</v>
      </c>
      <c r="F11" s="46">
        <f ca="1">F112</f>
        <v>34740774.360256441</v>
      </c>
      <c r="G11" s="46">
        <f ca="1">G112</f>
        <v>34974857.50729917</v>
      </c>
      <c r="H11" s="46">
        <f ca="1">H112</f>
        <v>35198931.827718846</v>
      </c>
    </row>
    <row r="12" spans="1:8">
      <c r="B12" s="6" t="s">
        <v>13</v>
      </c>
      <c r="D12" s="46">
        <f ca="1">D136</f>
        <v>-24154620.800521299</v>
      </c>
      <c r="E12" s="46">
        <f ca="1">E136</f>
        <v>-24758486.320534334</v>
      </c>
      <c r="F12" s="46">
        <f ca="1">F136</f>
        <v>-25377448.478547685</v>
      </c>
      <c r="G12" s="46">
        <f ca="1">G136</f>
        <v>-26011884.690511376</v>
      </c>
      <c r="H12" s="46">
        <f ca="1">H136</f>
        <v>-26662181.807774153</v>
      </c>
    </row>
    <row r="13" spans="1:8">
      <c r="B13" s="6" t="s">
        <v>118</v>
      </c>
      <c r="D13" s="30">
        <f ca="1">D160</f>
        <v>1379892156.8105283</v>
      </c>
      <c r="E13" s="30">
        <f ca="1">E160</f>
        <v>1389630974.4102578</v>
      </c>
      <c r="F13" s="30">
        <f ca="1">F160</f>
        <v>1398994300.2919662</v>
      </c>
      <c r="G13" s="30">
        <f ca="1">G160</f>
        <v>1407957273.1087544</v>
      </c>
      <c r="H13" s="30">
        <f ca="1">H160</f>
        <v>1416494023.1286991</v>
      </c>
    </row>
    <row r="14" spans="1:8">
      <c r="D14" s="30"/>
      <c r="E14" s="30"/>
      <c r="F14" s="30"/>
      <c r="G14" s="30"/>
      <c r="H14" s="30"/>
    </row>
    <row r="15" spans="1:8" ht="15.75">
      <c r="B15" s="10" t="s">
        <v>122</v>
      </c>
      <c r="D15" s="30">
        <f>D9</f>
        <v>1369801734.2546837</v>
      </c>
      <c r="E15" s="30">
        <f t="shared" ref="E15:H15" ca="1" si="0">E9</f>
        <v>1379892156.8105283</v>
      </c>
      <c r="F15" s="30">
        <f t="shared" ca="1" si="0"/>
        <v>1389630974.4102578</v>
      </c>
      <c r="G15" s="30">
        <f t="shared" ca="1" si="0"/>
        <v>1398994300.2919662</v>
      </c>
      <c r="H15" s="30">
        <f t="shared" ca="1" si="0"/>
        <v>1407957273.1087544</v>
      </c>
    </row>
    <row r="16" spans="1:8">
      <c r="B16" s="68"/>
      <c r="D16" s="30"/>
      <c r="E16" s="30"/>
      <c r="F16" s="30"/>
      <c r="G16" s="30"/>
      <c r="H16" s="30"/>
    </row>
    <row r="17" spans="2:8">
      <c r="B17" s="69" t="s">
        <v>120</v>
      </c>
      <c r="C17" s="12"/>
      <c r="D17" s="13">
        <f ca="1">SUM(D9:D12)-D13</f>
        <v>0</v>
      </c>
      <c r="E17" s="13">
        <f ca="1">SUM(E9:E12)-E13</f>
        <v>0</v>
      </c>
      <c r="F17" s="13">
        <f ca="1">SUM(F9:F12)-F13</f>
        <v>0</v>
      </c>
      <c r="G17" s="13">
        <f ca="1">SUM(G9:G12)-G13</f>
        <v>0</v>
      </c>
      <c r="H17" s="13">
        <f ca="1">SUM(H9:H12)-H13</f>
        <v>0</v>
      </c>
    </row>
    <row r="18" spans="2:8">
      <c r="D18" s="30"/>
      <c r="E18" s="30"/>
      <c r="F18" s="30"/>
      <c r="G18" s="30"/>
      <c r="H18" s="30"/>
    </row>
    <row r="19" spans="2:8" ht="15.75">
      <c r="B19" s="10" t="s">
        <v>61</v>
      </c>
      <c r="D19" s="30"/>
      <c r="E19" s="30"/>
      <c r="F19" s="30"/>
      <c r="G19" s="30"/>
      <c r="H19" s="30"/>
    </row>
    <row r="20" spans="2:8" ht="15.75">
      <c r="B20" s="10" t="s">
        <v>48</v>
      </c>
      <c r="D20" s="30"/>
      <c r="E20" s="30"/>
      <c r="F20" s="30"/>
      <c r="G20" s="30"/>
      <c r="H20" s="30"/>
    </row>
    <row r="21" spans="2:8">
      <c r="B21" s="2" t="str">
        <f>'10. Water-Existing Assets Input'!B6</f>
        <v>Water Assets (excluding Water Security)</v>
      </c>
      <c r="D21" s="30">
        <f>'10. Water-Existing Assets Input'!D6</f>
        <v>51.415177455856437</v>
      </c>
      <c r="E21" s="30">
        <f t="shared" ref="E21:H40" si="1">IF(D21&gt;=1,IF(D67,0,D21-1),0)</f>
        <v>50.415177455856437</v>
      </c>
      <c r="F21" s="30">
        <f t="shared" si="1"/>
        <v>49.415177455856437</v>
      </c>
      <c r="G21" s="30">
        <f t="shared" si="1"/>
        <v>48.415177455856437</v>
      </c>
      <c r="H21" s="30">
        <f t="shared" si="1"/>
        <v>47.415177455856437</v>
      </c>
    </row>
    <row r="22" spans="2:8">
      <c r="B22" s="2" t="str">
        <f>'10. Water-Existing Assets Input'!B7</f>
        <v>801410 ECD-Dams &amp; Weirs</v>
      </c>
      <c r="D22" s="30">
        <f>'10. Water-Existing Assets Input'!D7</f>
        <v>148.91949156052223</v>
      </c>
      <c r="E22" s="30">
        <f t="shared" si="1"/>
        <v>147.91949156052223</v>
      </c>
      <c r="F22" s="30">
        <f t="shared" si="1"/>
        <v>146.91949156052223</v>
      </c>
      <c r="G22" s="30">
        <f t="shared" si="1"/>
        <v>145.91949156052223</v>
      </c>
      <c r="H22" s="30">
        <f t="shared" si="1"/>
        <v>144.91949156052223</v>
      </c>
    </row>
    <row r="23" spans="2:8">
      <c r="B23" s="2" t="str">
        <f>'10. Water-Existing Assets Input'!B8</f>
        <v>801410 ECD-Dams or Weirs intake structures</v>
      </c>
      <c r="D23" s="30">
        <f>'10. Water-Existing Assets Input'!D8</f>
        <v>148.91928149526083</v>
      </c>
      <c r="E23" s="30">
        <f t="shared" si="1"/>
        <v>147.91928149526083</v>
      </c>
      <c r="F23" s="30">
        <f t="shared" si="1"/>
        <v>146.91928149526083</v>
      </c>
      <c r="G23" s="30">
        <f t="shared" si="1"/>
        <v>145.91928149526083</v>
      </c>
      <c r="H23" s="30">
        <f t="shared" si="1"/>
        <v>144.91928149526083</v>
      </c>
    </row>
    <row r="24" spans="2:8">
      <c r="B24" s="2" t="str">
        <f>'10. Water-Existing Assets Input'!B9</f>
        <v>801410 ECD-Valves</v>
      </c>
      <c r="D24" s="30">
        <f>'10. Water-Existing Assets Input'!D9</f>
        <v>29.695813895614819</v>
      </c>
      <c r="E24" s="30">
        <f t="shared" si="1"/>
        <v>28.695813895614819</v>
      </c>
      <c r="F24" s="30">
        <f t="shared" si="1"/>
        <v>27.695813895614819</v>
      </c>
      <c r="G24" s="30">
        <f t="shared" si="1"/>
        <v>26.695813895614819</v>
      </c>
      <c r="H24" s="30">
        <f t="shared" si="1"/>
        <v>25.695813895614819</v>
      </c>
    </row>
    <row r="25" spans="2:8">
      <c r="B25" s="2" t="str">
        <f>'10. Water-Existing Assets Input'!B10</f>
        <v>801410 ECD-Flow Meters</v>
      </c>
      <c r="D25" s="30">
        <f>'10. Water-Existing Assets Input'!D10</f>
        <v>19.665267383366977</v>
      </c>
      <c r="E25" s="30">
        <f t="shared" si="1"/>
        <v>18.665267383366977</v>
      </c>
      <c r="F25" s="30">
        <f t="shared" si="1"/>
        <v>17.665267383366977</v>
      </c>
      <c r="G25" s="30">
        <f t="shared" si="1"/>
        <v>16.665267383366977</v>
      </c>
      <c r="H25" s="30">
        <f t="shared" si="1"/>
        <v>15.665267383366977</v>
      </c>
    </row>
    <row r="26" spans="2:8">
      <c r="B26" s="2" t="str">
        <f>'10. Water-Existing Assets Input'!B11</f>
        <v>801410 ECD-Pressure sensors, transmitters and meters</v>
      </c>
      <c r="D26" s="30">
        <f>'10. Water-Existing Assets Input'!D11</f>
        <v>9.6657267224711809</v>
      </c>
      <c r="E26" s="30">
        <f t="shared" si="1"/>
        <v>8.6657267224711809</v>
      </c>
      <c r="F26" s="30">
        <f t="shared" si="1"/>
        <v>7.6657267224711809</v>
      </c>
      <c r="G26" s="30">
        <f t="shared" si="1"/>
        <v>6.6657267224711809</v>
      </c>
      <c r="H26" s="30">
        <f t="shared" si="1"/>
        <v>5.6657267224711809</v>
      </c>
    </row>
    <row r="27" spans="2:8">
      <c r="B27" s="2" t="str">
        <f>'10. Water-Existing Assets Input'!B12</f>
        <v>801416 ECD-Dams &amp; Weirs</v>
      </c>
      <c r="D27" s="30">
        <f>'10. Water-Existing Assets Input'!D12</f>
        <v>148.91996630650479</v>
      </c>
      <c r="E27" s="30">
        <f t="shared" si="1"/>
        <v>147.91996630650479</v>
      </c>
      <c r="F27" s="30">
        <f t="shared" si="1"/>
        <v>146.91996630650479</v>
      </c>
      <c r="G27" s="30">
        <f t="shared" si="1"/>
        <v>145.91996630650479</v>
      </c>
      <c r="H27" s="30">
        <f t="shared" si="1"/>
        <v>144.91996630650479</v>
      </c>
    </row>
    <row r="28" spans="2:8">
      <c r="B28" s="2" t="str">
        <f>'10. Water-Existing Assets Input'!B13</f>
        <v>801416 ECD-Dams or Weir intake structures</v>
      </c>
      <c r="D28" s="30">
        <f>'10. Water-Existing Assets Input'!D13</f>
        <v>148.90566483506132</v>
      </c>
      <c r="E28" s="30">
        <f t="shared" si="1"/>
        <v>147.90566483506132</v>
      </c>
      <c r="F28" s="30">
        <f t="shared" si="1"/>
        <v>146.90566483506132</v>
      </c>
      <c r="G28" s="30">
        <f t="shared" si="1"/>
        <v>145.90566483506132</v>
      </c>
      <c r="H28" s="30">
        <f t="shared" si="1"/>
        <v>144.90566483506132</v>
      </c>
    </row>
    <row r="29" spans="2:8">
      <c r="B29" s="2" t="str">
        <f>'10. Water-Existing Assets Input'!B14</f>
        <v>801416 ECD-Valves</v>
      </c>
      <c r="D29" s="30">
        <f>'10. Water-Existing Assets Input'!D14</f>
        <v>29.69485116748346</v>
      </c>
      <c r="E29" s="30">
        <f t="shared" si="1"/>
        <v>28.69485116748346</v>
      </c>
      <c r="F29" s="30">
        <f t="shared" si="1"/>
        <v>27.69485116748346</v>
      </c>
      <c r="G29" s="30">
        <f t="shared" si="1"/>
        <v>26.69485116748346</v>
      </c>
      <c r="H29" s="30">
        <f t="shared" si="1"/>
        <v>25.69485116748346</v>
      </c>
    </row>
    <row r="30" spans="2:8">
      <c r="B30" s="2" t="str">
        <f>'10. Water-Existing Assets Input'!B15</f>
        <v>801416 ECD-Flow Meters</v>
      </c>
      <c r="D30" s="30">
        <f>'10. Water-Existing Assets Input'!D15</f>
        <v>19.660412624081175</v>
      </c>
      <c r="E30" s="30">
        <f t="shared" si="1"/>
        <v>18.660412624081175</v>
      </c>
      <c r="F30" s="30">
        <f t="shared" si="1"/>
        <v>17.660412624081175</v>
      </c>
      <c r="G30" s="30">
        <f t="shared" si="1"/>
        <v>16.660412624081175</v>
      </c>
      <c r="H30" s="30">
        <f t="shared" si="1"/>
        <v>15.660412624081175</v>
      </c>
    </row>
    <row r="31" spans="2:8">
      <c r="B31" s="2" t="str">
        <f>'10. Water-Existing Assets Input'!B16</f>
        <v>801416 ECD-Pressure sensors, transmitters and meters</v>
      </c>
      <c r="D31" s="30">
        <f>'10. Water-Existing Assets Input'!D16</f>
        <v>9.6655200154095411</v>
      </c>
      <c r="E31" s="30">
        <f t="shared" si="1"/>
        <v>8.6655200154095411</v>
      </c>
      <c r="F31" s="30">
        <f t="shared" si="1"/>
        <v>7.6655200154095411</v>
      </c>
      <c r="G31" s="30">
        <f t="shared" si="1"/>
        <v>6.6655200154095411</v>
      </c>
      <c r="H31" s="30">
        <f t="shared" si="1"/>
        <v>5.6655200154095411</v>
      </c>
    </row>
    <row r="32" spans="2:8">
      <c r="B32" s="2" t="str">
        <f>'10. Water-Existing Assets Input'!B17</f>
        <v>801411 M2G-Cathodic protections systems</v>
      </c>
      <c r="D32" s="30">
        <f>'10. Water-Existing Assets Input'!D17</f>
        <v>19.169981322684318</v>
      </c>
      <c r="E32" s="30">
        <f t="shared" si="1"/>
        <v>18.169981322684318</v>
      </c>
      <c r="F32" s="30">
        <f t="shared" si="1"/>
        <v>17.169981322684318</v>
      </c>
      <c r="G32" s="30">
        <f t="shared" si="1"/>
        <v>16.169981322684318</v>
      </c>
      <c r="H32" s="30">
        <f t="shared" si="1"/>
        <v>15.169981322684318</v>
      </c>
    </row>
    <row r="33" spans="2:8">
      <c r="B33" s="2" t="str">
        <f>'10. Water-Existing Assets Input'!B18</f>
        <v>801411 M2G-Valves (Bulk)</v>
      </c>
      <c r="D33" s="30">
        <f>'10. Water-Existing Assets Input'!D18</f>
        <v>29.199880035819557</v>
      </c>
      <c r="E33" s="30">
        <f t="shared" si="1"/>
        <v>28.199880035819557</v>
      </c>
      <c r="F33" s="30">
        <f t="shared" si="1"/>
        <v>27.199880035819557</v>
      </c>
      <c r="G33" s="30">
        <f t="shared" si="1"/>
        <v>26.199880035819557</v>
      </c>
      <c r="H33" s="30">
        <f t="shared" si="1"/>
        <v>25.199880035819557</v>
      </c>
    </row>
    <row r="34" spans="2:8">
      <c r="B34" s="2" t="str">
        <f>'10. Water-Existing Assets Input'!B19</f>
        <v>801411 M2G-Valves (Pump)</v>
      </c>
      <c r="D34" s="30">
        <f>'10. Water-Existing Assets Input'!D19</f>
        <v>29.19992834551536</v>
      </c>
      <c r="E34" s="30">
        <f t="shared" si="1"/>
        <v>28.19992834551536</v>
      </c>
      <c r="F34" s="30">
        <f t="shared" si="1"/>
        <v>27.19992834551536</v>
      </c>
      <c r="G34" s="30">
        <f t="shared" si="1"/>
        <v>26.19992834551536</v>
      </c>
      <c r="H34" s="30">
        <f t="shared" si="1"/>
        <v>25.19992834551536</v>
      </c>
    </row>
    <row r="35" spans="2:8">
      <c r="B35" s="2" t="str">
        <f>'10. Water-Existing Assets Input'!B20</f>
        <v>801411 M2G-Flow Meters (Bulk)</v>
      </c>
      <c r="D35" s="30">
        <f>'10. Water-Existing Assets Input'!D20</f>
        <v>19.169626351600186</v>
      </c>
      <c r="E35" s="30">
        <f t="shared" si="1"/>
        <v>18.169626351600186</v>
      </c>
      <c r="F35" s="30">
        <f t="shared" si="1"/>
        <v>17.169626351600186</v>
      </c>
      <c r="G35" s="30">
        <f t="shared" si="1"/>
        <v>16.169626351600186</v>
      </c>
      <c r="H35" s="30">
        <f t="shared" si="1"/>
        <v>15.169626351600186</v>
      </c>
    </row>
    <row r="36" spans="2:8">
      <c r="B36" s="2" t="str">
        <f>'10. Water-Existing Assets Input'!B21</f>
        <v>801411 M2G-Flow Meters (Pump)</v>
      </c>
      <c r="D36" s="30">
        <f>'10. Water-Existing Assets Input'!D21</f>
        <v>19.169849661909012</v>
      </c>
      <c r="E36" s="30">
        <f t="shared" si="1"/>
        <v>18.169849661909012</v>
      </c>
      <c r="F36" s="30">
        <f t="shared" si="1"/>
        <v>17.169849661909012</v>
      </c>
      <c r="G36" s="30">
        <f t="shared" si="1"/>
        <v>16.169849661909012</v>
      </c>
      <c r="H36" s="30">
        <f t="shared" si="1"/>
        <v>15.169849661909012</v>
      </c>
    </row>
    <row r="37" spans="2:8">
      <c r="B37" s="2" t="str">
        <f>'10. Water-Existing Assets Input'!B22</f>
        <v>801411 M2G-Water Mains (Bulk)</v>
      </c>
      <c r="D37" s="30">
        <f>'10. Water-Existing Assets Input'!D22</f>
        <v>99.169859341937283</v>
      </c>
      <c r="E37" s="30">
        <f t="shared" si="1"/>
        <v>98.169859341937283</v>
      </c>
      <c r="F37" s="30">
        <f t="shared" si="1"/>
        <v>97.169859341937283</v>
      </c>
      <c r="G37" s="30">
        <f t="shared" si="1"/>
        <v>96.169859341937283</v>
      </c>
      <c r="H37" s="30">
        <f t="shared" si="1"/>
        <v>95.169859341937283</v>
      </c>
    </row>
    <row r="38" spans="2:8">
      <c r="B38" s="2" t="str">
        <f>'10. Water-Existing Assets Input'!B23</f>
        <v>801411 M2G-Water Mains (Pump)</v>
      </c>
      <c r="D38" s="30">
        <f>'10. Water-Existing Assets Input'!D23</f>
        <v>99.169990898498426</v>
      </c>
      <c r="E38" s="30">
        <f t="shared" si="1"/>
        <v>98.169990898498426</v>
      </c>
      <c r="F38" s="30">
        <f t="shared" si="1"/>
        <v>97.169990898498426</v>
      </c>
      <c r="G38" s="30">
        <f t="shared" si="1"/>
        <v>96.169990898498426</v>
      </c>
      <c r="H38" s="30">
        <f t="shared" si="1"/>
        <v>95.169990898498426</v>
      </c>
    </row>
    <row r="39" spans="2:8">
      <c r="B39" s="2" t="str">
        <f>'10. Water-Existing Assets Input'!B24</f>
        <v>801411 M2G-Telemetry (Pump)</v>
      </c>
      <c r="D39" s="30">
        <f>'10. Water-Existing Assets Input'!D24</f>
        <v>9.1698618237399003</v>
      </c>
      <c r="E39" s="30">
        <f t="shared" si="1"/>
        <v>8.1698618237399003</v>
      </c>
      <c r="F39" s="30">
        <f t="shared" si="1"/>
        <v>7.1698618237399003</v>
      </c>
      <c r="G39" s="30">
        <f t="shared" si="1"/>
        <v>6.1698618237399003</v>
      </c>
      <c r="H39" s="30">
        <f t="shared" si="1"/>
        <v>5.1698618237399003</v>
      </c>
    </row>
    <row r="40" spans="2:8">
      <c r="B40" s="2" t="str">
        <f>'10. Water-Existing Assets Input'!B25</f>
        <v>801411 M2G-Pump Sets (Pump)</v>
      </c>
      <c r="D40" s="30">
        <f>'10. Water-Existing Assets Input'!D25</f>
        <v>24.169863554109693</v>
      </c>
      <c r="E40" s="30">
        <f t="shared" si="1"/>
        <v>23.169863554109693</v>
      </c>
      <c r="F40" s="30">
        <f t="shared" si="1"/>
        <v>22.169863554109693</v>
      </c>
      <c r="G40" s="30">
        <f t="shared" si="1"/>
        <v>21.169863554109693</v>
      </c>
      <c r="H40" s="30">
        <f t="shared" si="1"/>
        <v>20.169863554109693</v>
      </c>
    </row>
    <row r="41" spans="2:8">
      <c r="D41" s="30"/>
      <c r="E41" s="30"/>
      <c r="F41" s="30"/>
      <c r="G41" s="30"/>
      <c r="H41" s="30"/>
    </row>
    <row r="42" spans="2:8" ht="15.75">
      <c r="B42" s="10" t="s">
        <v>116</v>
      </c>
      <c r="D42" s="30"/>
      <c r="E42" s="30"/>
      <c r="F42" s="30"/>
      <c r="G42" s="30"/>
      <c r="H42" s="30"/>
    </row>
    <row r="43" spans="2:8">
      <c r="B43" s="2" t="str">
        <f>B21</f>
        <v>Water Assets (excluding Water Security)</v>
      </c>
      <c r="D43" s="30">
        <f>IF('10. Water-Existing Assets Input'!H6,'10. Water-Existing Assets Input'!C6,0)</f>
        <v>826314616.96719432</v>
      </c>
      <c r="E43" s="30">
        <f ca="1">D139</f>
        <v>830499282.7584728</v>
      </c>
      <c r="F43" s="30">
        <f t="shared" ref="F43:H43" ca="1" si="2">E139</f>
        <v>834376735.20371068</v>
      </c>
      <c r="G43" s="30">
        <f t="shared" ca="1" si="2"/>
        <v>837928998.21948636</v>
      </c>
      <c r="H43" s="30">
        <f t="shared" ca="1" si="2"/>
        <v>841137388.92654848</v>
      </c>
    </row>
    <row r="44" spans="2:8">
      <c r="B44" s="2" t="str">
        <f t="shared" ref="B44:B62" si="3">B22</f>
        <v>801410 ECD-Dams &amp; Weirs</v>
      </c>
      <c r="D44" s="30">
        <f>IF('10. Water-Existing Assets Input'!H7,'10. Water-Existing Assets Input'!C7,0)</f>
        <v>379422003.20195103</v>
      </c>
      <c r="E44" s="30">
        <f t="shared" ref="E44:E62" ca="1" si="4">D140</f>
        <v>386296024.40014124</v>
      </c>
      <c r="F44" s="30">
        <f t="shared" ref="F44:F62" ca="1" si="5">E140</f>
        <v>393276607.90623975</v>
      </c>
      <c r="G44" s="30">
        <f t="shared" ref="G44:G62" ca="1" si="6">F140</f>
        <v>400364785.57239306</v>
      </c>
      <c r="H44" s="30">
        <f t="shared" ref="H44:H62" ca="1" si="7">G140</f>
        <v>407561574.24191266</v>
      </c>
    </row>
    <row r="45" spans="2:8">
      <c r="B45" s="2" t="str">
        <f t="shared" si="3"/>
        <v>801410 ECD-Dams or Weirs intake structures</v>
      </c>
      <c r="D45" s="30">
        <f>IF('10. Water-Existing Assets Input'!H8,'10. Water-Existing Assets Input'!C8,0)</f>
        <v>12775931.26605618</v>
      </c>
      <c r="E45" s="30">
        <f t="shared" ca="1" si="4"/>
        <v>13007393.792067207</v>
      </c>
      <c r="F45" s="30">
        <f t="shared" ca="1" si="5"/>
        <v>13242444.487337502</v>
      </c>
      <c r="G45" s="30">
        <f t="shared" ca="1" si="6"/>
        <v>13481118.096251268</v>
      </c>
      <c r="H45" s="30">
        <f t="shared" ca="1" si="7"/>
        <v>13723448.857806139</v>
      </c>
    </row>
    <row r="46" spans="2:8">
      <c r="B46" s="2" t="str">
        <f t="shared" si="3"/>
        <v>801410 ECD-Valves</v>
      </c>
      <c r="D46" s="30">
        <f>IF('10. Water-Existing Assets Input'!H9,'10. Water-Existing Assets Input'!C9,0)</f>
        <v>3436851.8407818852</v>
      </c>
      <c r="E46" s="30">
        <f t="shared" ca="1" si="4"/>
        <v>3404144.5264126249</v>
      </c>
      <c r="F46" s="30">
        <f t="shared" ca="1" si="5"/>
        <v>3367653.8139244122</v>
      </c>
      <c r="G46" s="30">
        <f t="shared" ca="1" si="6"/>
        <v>3327210.9754827814</v>
      </c>
      <c r="H46" s="30">
        <f t="shared" ca="1" si="7"/>
        <v>3282641.2114853663</v>
      </c>
    </row>
    <row r="47" spans="2:8">
      <c r="B47" s="2" t="str">
        <f t="shared" si="3"/>
        <v>801410 ECD-Flow Meters</v>
      </c>
      <c r="D47" s="30">
        <f>IF('10. Water-Existing Assets Input'!H10,'10. Water-Existing Assets Input'!C10,0)</f>
        <v>359731.65223659476</v>
      </c>
      <c r="E47" s="30">
        <f t="shared" ca="1" si="4"/>
        <v>349974.88353293255</v>
      </c>
      <c r="F47" s="30">
        <f t="shared" ca="1" si="5"/>
        <v>339505.44411143934</v>
      </c>
      <c r="G47" s="30">
        <f t="shared" ca="1" si="6"/>
        <v>328293.79841666343</v>
      </c>
      <c r="H47" s="30">
        <f t="shared" ca="1" si="7"/>
        <v>316309.37953457906</v>
      </c>
    </row>
    <row r="48" spans="2:8">
      <c r="B48" s="2" t="str">
        <f t="shared" si="3"/>
        <v>801410 ECD-Pressure sensors, transmitters and meters</v>
      </c>
      <c r="D48" s="30">
        <f>IF('10. Water-Existing Assets Input'!H11,'10. Water-Existing Assets Input'!C11,0)</f>
        <v>1591278.8303692478</v>
      </c>
      <c r="E48" s="30">
        <f t="shared" ca="1" si="4"/>
        <v>1462313.9652246106</v>
      </c>
      <c r="F48" s="30">
        <f t="shared" ca="1" si="5"/>
        <v>1325906.3075537609</v>
      </c>
      <c r="G48" s="30">
        <f t="shared" ca="1" si="6"/>
        <v>1181764.3207711033</v>
      </c>
      <c r="H48" s="30">
        <f t="shared" ca="1" si="7"/>
        <v>1029586.5432070917</v>
      </c>
    </row>
    <row r="49" spans="2:8">
      <c r="B49" s="2" t="str">
        <f t="shared" si="3"/>
        <v>801416 ECD-Dams &amp; Weirs</v>
      </c>
      <c r="D49" s="30">
        <f>IF('10. Water-Existing Assets Input'!H12,'10. Water-Existing Assets Input'!C12,0)</f>
        <v>9520176.9175149389</v>
      </c>
      <c r="E49" s="30">
        <f t="shared" ca="1" si="4"/>
        <v>9692654.9937682543</v>
      </c>
      <c r="F49" s="30">
        <f t="shared" ca="1" si="5"/>
        <v>9867806.8632607888</v>
      </c>
      <c r="G49" s="30">
        <f t="shared" ca="1" si="6"/>
        <v>10045658.416856844</v>
      </c>
      <c r="H49" s="30">
        <f t="shared" ca="1" si="7"/>
        <v>10226235.168843163</v>
      </c>
    </row>
    <row r="50" spans="2:8">
      <c r="B50" s="2" t="str">
        <f t="shared" si="3"/>
        <v>801416 ECD-Dams or Weir intake structures</v>
      </c>
      <c r="D50" s="30">
        <f>IF('10. Water-Existing Assets Input'!H13,'10. Water-Existing Assets Input'!C13,0)</f>
        <v>350743.37019958318</v>
      </c>
      <c r="E50" s="30">
        <f t="shared" ca="1" si="4"/>
        <v>357097.59396094887</v>
      </c>
      <c r="F50" s="30">
        <f t="shared" ca="1" si="5"/>
        <v>363550.31430400809</v>
      </c>
      <c r="G50" s="30">
        <f t="shared" ca="1" si="6"/>
        <v>370102.48466799472</v>
      </c>
      <c r="H50" s="30">
        <f t="shared" ca="1" si="7"/>
        <v>376755.04460374068</v>
      </c>
    </row>
    <row r="51" spans="2:8">
      <c r="B51" s="2" t="str">
        <f t="shared" si="3"/>
        <v>801416 ECD-Valves</v>
      </c>
      <c r="D51" s="30">
        <f>IF('10. Water-Existing Assets Input'!H14,'10. Water-Existing Assets Input'!C14,0)</f>
        <v>94353.444992564822</v>
      </c>
      <c r="E51" s="30">
        <f t="shared" ca="1" si="4"/>
        <v>93455.410740359468</v>
      </c>
      <c r="F51" s="30">
        <f t="shared" ca="1" si="5"/>
        <v>92453.503872423491</v>
      </c>
      <c r="G51" s="30">
        <f t="shared" ca="1" si="6"/>
        <v>91343.092029377993</v>
      </c>
      <c r="H51" s="30">
        <f t="shared" ca="1" si="7"/>
        <v>90119.376154259968</v>
      </c>
    </row>
    <row r="52" spans="2:8">
      <c r="B52" s="2" t="str">
        <f t="shared" si="3"/>
        <v>801416 ECD-Flow Meters</v>
      </c>
      <c r="D52" s="30">
        <f>IF('10. Water-Existing Assets Input'!H15,'10. Water-Existing Assets Input'!C15,0)</f>
        <v>9875.8825955219618</v>
      </c>
      <c r="E52" s="30">
        <f t="shared" ca="1" si="4"/>
        <v>9607.8983171766013</v>
      </c>
      <c r="F52" s="30">
        <f t="shared" ca="1" si="5"/>
        <v>9320.3423982917702</v>
      </c>
      <c r="G52" s="30">
        <f t="shared" ca="1" si="6"/>
        <v>9012.4037470144631</v>
      </c>
      <c r="H52" s="30">
        <f t="shared" ca="1" si="7"/>
        <v>8683.2429491743587</v>
      </c>
    </row>
    <row r="53" spans="2:8">
      <c r="B53" s="2" t="str">
        <f t="shared" si="3"/>
        <v>801416 ECD-Pressure sensors, transmitters and meters</v>
      </c>
      <c r="D53" s="30">
        <f>IF('10. Water-Existing Assets Input'!H16,'10. Water-Existing Assets Input'!C16,0)</f>
        <v>43686.099637497849</v>
      </c>
      <c r="E53" s="30">
        <f t="shared" ca="1" si="4"/>
        <v>40145.469613159737</v>
      </c>
      <c r="F53" s="30">
        <f t="shared" ca="1" si="5"/>
        <v>36400.504275331281</v>
      </c>
      <c r="G53" s="30">
        <f t="shared" ca="1" si="6"/>
        <v>32443.199752103177</v>
      </c>
      <c r="H53" s="30">
        <f t="shared" ca="1" si="7"/>
        <v>28265.279687541584</v>
      </c>
    </row>
    <row r="54" spans="2:8">
      <c r="B54" s="2" t="str">
        <f t="shared" si="3"/>
        <v>801411 M2G-Cathodic protections systems</v>
      </c>
      <c r="D54" s="30">
        <f>IF('10. Water-Existing Assets Input'!H17,'10. Water-Existing Assets Input'!C17,0)</f>
        <v>535376.81107026467</v>
      </c>
      <c r="E54" s="30">
        <f t="shared" ca="1" si="4"/>
        <v>520135.16113287571</v>
      </c>
      <c r="F54" s="30">
        <f t="shared" ca="1" si="5"/>
        <v>503796.8181916984</v>
      </c>
      <c r="G54" s="30">
        <f t="shared" ca="1" si="6"/>
        <v>486316.47362775414</v>
      </c>
      <c r="H54" s="30">
        <f t="shared" ca="1" si="7"/>
        <v>467647.23882424284</v>
      </c>
    </row>
    <row r="55" spans="2:8">
      <c r="B55" s="2" t="str">
        <f t="shared" si="3"/>
        <v>801411 M2G-Valves (Bulk)</v>
      </c>
      <c r="D55" s="30">
        <f>IF('10. Water-Existing Assets Input'!H18,'10. Water-Existing Assets Input'!C18,0)</f>
        <v>2715599.0658783517</v>
      </c>
      <c r="E55" s="30">
        <f t="shared" ca="1" si="4"/>
        <v>2688163.683684425</v>
      </c>
      <c r="F55" s="30">
        <f t="shared" ca="1" si="5"/>
        <v>2657659.2829646282</v>
      </c>
      <c r="G55" s="30">
        <f t="shared" ca="1" si="6"/>
        <v>2623949.5599065386</v>
      </c>
      <c r="H55" s="30">
        <f t="shared" ca="1" si="7"/>
        <v>2586893.3136436916</v>
      </c>
    </row>
    <row r="56" spans="2:8">
      <c r="B56" s="2" t="str">
        <f t="shared" si="3"/>
        <v>801411 M2G-Valves (Pump)</v>
      </c>
      <c r="D56" s="30">
        <f>IF('10. Water-Existing Assets Input'!H19,'10. Water-Existing Assets Input'!C19,0)</f>
        <v>2443090.041677299</v>
      </c>
      <c r="E56" s="30">
        <f t="shared" ca="1" si="4"/>
        <v>2418407.9284123038</v>
      </c>
      <c r="F56" s="30">
        <f t="shared" ca="1" si="5"/>
        <v>2390964.7782080104</v>
      </c>
      <c r="G56" s="30">
        <f t="shared" ca="1" si="6"/>
        <v>2360637.9655382447</v>
      </c>
      <c r="H56" s="30">
        <f t="shared" ca="1" si="7"/>
        <v>2327300.4592486108</v>
      </c>
    </row>
    <row r="57" spans="2:8">
      <c r="B57" s="2" t="str">
        <f t="shared" si="3"/>
        <v>801411 M2G-Flow Meters (Bulk)</v>
      </c>
      <c r="D57" s="30">
        <f>IF('10. Water-Existing Assets Input'!H20,'10. Water-Existing Assets Input'!C20,0)</f>
        <v>535376.33558476728</v>
      </c>
      <c r="E57" s="30">
        <f t="shared" ca="1" si="4"/>
        <v>520134.16910488839</v>
      </c>
      <c r="F57" s="30">
        <f t="shared" ca="1" si="5"/>
        <v>503795.28409127507</v>
      </c>
      <c r="G57" s="30">
        <f t="shared" ca="1" si="6"/>
        <v>486314.37097129051</v>
      </c>
      <c r="H57" s="30">
        <f t="shared" ca="1" si="7"/>
        <v>467644.54014274967</v>
      </c>
    </row>
    <row r="58" spans="2:8">
      <c r="B58" s="2" t="str">
        <f t="shared" si="3"/>
        <v>801411 M2G-Flow Meters (Pump)</v>
      </c>
      <c r="D58" s="30">
        <f>IF('10. Water-Existing Assets Input'!H21,'10. Water-Existing Assets Input'!C21,0)</f>
        <v>802752.95920916577</v>
      </c>
      <c r="E58" s="30">
        <f t="shared" ca="1" si="4"/>
        <v>779899.07916713203</v>
      </c>
      <c r="F58" s="30">
        <f t="shared" ca="1" si="5"/>
        <v>755400.78452349093</v>
      </c>
      <c r="G58" s="30">
        <f t="shared" ca="1" si="6"/>
        <v>729190.13822318835</v>
      </c>
      <c r="H58" s="30">
        <f t="shared" ca="1" si="7"/>
        <v>701196.83411754353</v>
      </c>
    </row>
    <row r="59" spans="2:8">
      <c r="B59" s="2" t="str">
        <f t="shared" si="3"/>
        <v>801411 M2G-Water Mains (Bulk)</v>
      </c>
      <c r="D59" s="30">
        <f>IF('10. Water-Existing Assets Input'!H22,'10. Water-Existing Assets Input'!C22,0)</f>
        <v>51514894.336231887</v>
      </c>
      <c r="E59" s="30">
        <f t="shared" ca="1" si="4"/>
        <v>52270318.962584607</v>
      </c>
      <c r="F59" s="30">
        <f t="shared" ca="1" si="5"/>
        <v>53031318.011294819</v>
      </c>
      <c r="G59" s="30">
        <f t="shared" ca="1" si="6"/>
        <v>53797698.063088924</v>
      </c>
      <c r="H59" s="30">
        <f t="shared" ca="1" si="7"/>
        <v>54569252.543715671</v>
      </c>
    </row>
    <row r="60" spans="2:8">
      <c r="B60" s="2" t="str">
        <f t="shared" si="3"/>
        <v>801411 M2G-Water Mains (Pump)</v>
      </c>
      <c r="D60" s="30">
        <f>IF('10. Water-Existing Assets Input'!H23,'10. Water-Existing Assets Input'!C23,0)</f>
        <v>9136189.8994134776</v>
      </c>
      <c r="E60" s="30">
        <f t="shared" ca="1" si="4"/>
        <v>9270164.925144745</v>
      </c>
      <c r="F60" s="30">
        <f t="shared" ca="1" si="5"/>
        <v>9405128.5834754426</v>
      </c>
      <c r="G60" s="30">
        <f t="shared" ca="1" si="6"/>
        <v>9541046.5716444589</v>
      </c>
      <c r="H60" s="30">
        <f t="shared" ca="1" si="7"/>
        <v>9677882.253857255</v>
      </c>
    </row>
    <row r="61" spans="2:8">
      <c r="B61" s="2" t="str">
        <f t="shared" si="3"/>
        <v>801411 M2G-Telemetry (Pump)</v>
      </c>
      <c r="D61" s="30">
        <f>IF('10. Water-Existing Assets Input'!H24,'10. Water-Existing Assets Input'!C24,0)</f>
        <v>11519848.998642391</v>
      </c>
      <c r="E61" s="30">
        <f t="shared" ca="1" si="4"/>
        <v>10520165.490742786</v>
      </c>
      <c r="F61" s="30">
        <f t="shared" ca="1" si="5"/>
        <v>9463297.9018240497</v>
      </c>
      <c r="G61" s="30">
        <f t="shared" ca="1" si="6"/>
        <v>8347011.8300276622</v>
      </c>
      <c r="H61" s="30">
        <f t="shared" ca="1" si="7"/>
        <v>7168996.8934528157</v>
      </c>
    </row>
    <row r="62" spans="2:8">
      <c r="B62" s="2" t="str">
        <f t="shared" si="3"/>
        <v>801411 M2G-Pump Sets (Pump)</v>
      </c>
      <c r="D62" s="30">
        <f>IF('10. Water-Existing Assets Input'!H25,'10. Water-Existing Assets Input'!C25,0)</f>
        <v>56679356.333446033</v>
      </c>
      <c r="E62" s="30">
        <f t="shared" ca="1" si="4"/>
        <v>55692671.71830374</v>
      </c>
      <c r="F62" s="30">
        <f t="shared" ca="1" si="5"/>
        <v>54621228.274695933</v>
      </c>
      <c r="G62" s="30">
        <f t="shared" ca="1" si="6"/>
        <v>53461404.739083797</v>
      </c>
      <c r="H62" s="30">
        <f t="shared" ca="1" si="7"/>
        <v>52209451.759019367</v>
      </c>
    </row>
    <row r="63" spans="2:8">
      <c r="D63" s="30"/>
      <c r="E63" s="30"/>
      <c r="F63" s="30"/>
      <c r="G63" s="30"/>
      <c r="H63" s="30"/>
    </row>
    <row r="64" spans="2:8">
      <c r="B64" s="2" t="s">
        <v>49</v>
      </c>
      <c r="D64" s="48">
        <f>SUM(D43:D63)</f>
        <v>1369801734.2546837</v>
      </c>
      <c r="E64" s="48">
        <f ca="1">SUM(E43:E63)</f>
        <v>1379892156.8105283</v>
      </c>
      <c r="F64" s="48">
        <f ca="1">SUM(F43:F63)</f>
        <v>1389630974.4102578</v>
      </c>
      <c r="G64" s="48">
        <f ca="1">SUM(G43:G63)</f>
        <v>1398994300.2919662</v>
      </c>
      <c r="H64" s="48">
        <f ca="1">SUM(H43:H63)</f>
        <v>1407957273.1087544</v>
      </c>
    </row>
    <row r="65" spans="1:8">
      <c r="D65" s="30"/>
      <c r="E65" s="30"/>
      <c r="F65" s="30"/>
      <c r="G65" s="30"/>
      <c r="H65" s="30"/>
    </row>
    <row r="66" spans="1:8" ht="15.75">
      <c r="A66" s="35">
        <f>'2. Notes and Assumptions'!B47</f>
        <v>24</v>
      </c>
      <c r="B66" s="10" t="s">
        <v>27</v>
      </c>
      <c r="D66" s="30"/>
      <c r="E66" s="30"/>
      <c r="F66" s="30"/>
      <c r="G66" s="30"/>
      <c r="H66" s="30"/>
    </row>
    <row r="67" spans="1:8">
      <c r="B67" s="2" t="str">
        <f>B43</f>
        <v>Water Assets (excluding Water Security)</v>
      </c>
      <c r="D67" s="30"/>
      <c r="E67" s="30"/>
      <c r="F67" s="30"/>
      <c r="G67" s="30"/>
      <c r="H67" s="30"/>
    </row>
    <row r="68" spans="1:8">
      <c r="B68" s="2" t="str">
        <f t="shared" ref="B68:B86" si="8">B44</f>
        <v>801410 ECD-Dams &amp; Weirs</v>
      </c>
      <c r="D68" s="30"/>
      <c r="E68" s="30"/>
      <c r="F68" s="30"/>
      <c r="G68" s="30"/>
      <c r="H68" s="30"/>
    </row>
    <row r="69" spans="1:8">
      <c r="B69" s="2" t="str">
        <f t="shared" si="8"/>
        <v>801410 ECD-Dams or Weirs intake structures</v>
      </c>
      <c r="D69" s="30"/>
      <c r="E69" s="30"/>
      <c r="F69" s="30"/>
      <c r="G69" s="30"/>
      <c r="H69" s="30"/>
    </row>
    <row r="70" spans="1:8">
      <c r="B70" s="2" t="str">
        <f t="shared" si="8"/>
        <v>801410 ECD-Valves</v>
      </c>
      <c r="D70" s="30"/>
      <c r="E70" s="30"/>
      <c r="F70" s="30"/>
      <c r="G70" s="30"/>
      <c r="H70" s="30"/>
    </row>
    <row r="71" spans="1:8">
      <c r="B71" s="2" t="str">
        <f t="shared" si="8"/>
        <v>801410 ECD-Flow Meters</v>
      </c>
      <c r="D71" s="30"/>
      <c r="E71" s="30"/>
      <c r="F71" s="30"/>
      <c r="G71" s="30"/>
      <c r="H71" s="30"/>
    </row>
    <row r="72" spans="1:8">
      <c r="B72" s="2" t="str">
        <f t="shared" si="8"/>
        <v>801410 ECD-Pressure sensors, transmitters and meters</v>
      </c>
      <c r="D72" s="30"/>
      <c r="E72" s="30"/>
      <c r="F72" s="30"/>
      <c r="G72" s="30"/>
      <c r="H72" s="30"/>
    </row>
    <row r="73" spans="1:8">
      <c r="B73" s="2" t="str">
        <f t="shared" si="8"/>
        <v>801416 ECD-Dams &amp; Weirs</v>
      </c>
      <c r="D73" s="30"/>
      <c r="E73" s="30"/>
      <c r="F73" s="30"/>
      <c r="G73" s="30"/>
      <c r="H73" s="30"/>
    </row>
    <row r="74" spans="1:8">
      <c r="B74" s="2" t="str">
        <f t="shared" si="8"/>
        <v>801416 ECD-Dams or Weir intake structures</v>
      </c>
      <c r="D74" s="30"/>
      <c r="E74" s="30"/>
      <c r="F74" s="30"/>
      <c r="G74" s="30"/>
      <c r="H74" s="30"/>
    </row>
    <row r="75" spans="1:8">
      <c r="B75" s="2" t="str">
        <f t="shared" si="8"/>
        <v>801416 ECD-Valves</v>
      </c>
      <c r="D75" s="30"/>
      <c r="E75" s="30"/>
      <c r="F75" s="30"/>
      <c r="G75" s="30"/>
      <c r="H75" s="30"/>
    </row>
    <row r="76" spans="1:8">
      <c r="B76" s="2" t="str">
        <f t="shared" si="8"/>
        <v>801416 ECD-Flow Meters</v>
      </c>
      <c r="D76" s="30"/>
      <c r="E76" s="30"/>
      <c r="F76" s="30"/>
      <c r="G76" s="30"/>
      <c r="H76" s="30"/>
    </row>
    <row r="77" spans="1:8">
      <c r="B77" s="2" t="str">
        <f t="shared" si="8"/>
        <v>801416 ECD-Pressure sensors, transmitters and meters</v>
      </c>
      <c r="D77" s="30"/>
      <c r="E77" s="30"/>
      <c r="F77" s="30"/>
      <c r="G77" s="30"/>
      <c r="H77" s="30"/>
    </row>
    <row r="78" spans="1:8">
      <c r="B78" s="2" t="str">
        <f t="shared" si="8"/>
        <v>801411 M2G-Cathodic protections systems</v>
      </c>
      <c r="D78" s="30"/>
      <c r="E78" s="30"/>
      <c r="F78" s="30"/>
      <c r="G78" s="30"/>
      <c r="H78" s="30"/>
    </row>
    <row r="79" spans="1:8">
      <c r="B79" s="2" t="str">
        <f t="shared" si="8"/>
        <v>801411 M2G-Valves (Bulk)</v>
      </c>
      <c r="D79" s="30"/>
      <c r="E79" s="30"/>
      <c r="F79" s="30"/>
      <c r="G79" s="30"/>
      <c r="H79" s="30"/>
    </row>
    <row r="80" spans="1:8">
      <c r="B80" s="2" t="str">
        <f t="shared" si="8"/>
        <v>801411 M2G-Valves (Pump)</v>
      </c>
      <c r="D80" s="30"/>
      <c r="E80" s="30"/>
      <c r="F80" s="30"/>
      <c r="G80" s="30"/>
      <c r="H80" s="30"/>
    </row>
    <row r="81" spans="2:8">
      <c r="B81" s="2" t="str">
        <f t="shared" si="8"/>
        <v>801411 M2G-Flow Meters (Bulk)</v>
      </c>
      <c r="D81" s="30"/>
      <c r="E81" s="30"/>
      <c r="F81" s="30"/>
      <c r="G81" s="30"/>
      <c r="H81" s="30"/>
    </row>
    <row r="82" spans="2:8">
      <c r="B82" s="2" t="str">
        <f t="shared" si="8"/>
        <v>801411 M2G-Flow Meters (Pump)</v>
      </c>
      <c r="D82" s="30"/>
      <c r="E82" s="30"/>
      <c r="F82" s="30"/>
      <c r="G82" s="30"/>
      <c r="H82" s="30"/>
    </row>
    <row r="83" spans="2:8">
      <c r="B83" s="2" t="str">
        <f t="shared" si="8"/>
        <v>801411 M2G-Water Mains (Bulk)</v>
      </c>
      <c r="D83" s="30"/>
      <c r="E83" s="30"/>
      <c r="F83" s="30"/>
      <c r="G83" s="30"/>
      <c r="H83" s="30"/>
    </row>
    <row r="84" spans="2:8">
      <c r="B84" s="2" t="str">
        <f t="shared" si="8"/>
        <v>801411 M2G-Water Mains (Pump)</v>
      </c>
      <c r="D84" s="30"/>
      <c r="E84" s="30"/>
      <c r="F84" s="30"/>
      <c r="G84" s="30"/>
      <c r="H84" s="30"/>
    </row>
    <row r="85" spans="2:8">
      <c r="B85" s="2" t="str">
        <f t="shared" si="8"/>
        <v>801411 M2G-Telemetry (Pump)</v>
      </c>
      <c r="D85" s="30"/>
      <c r="E85" s="30"/>
      <c r="F85" s="30"/>
      <c r="G85" s="30"/>
      <c r="H85" s="30"/>
    </row>
    <row r="86" spans="2:8">
      <c r="B86" s="2" t="str">
        <f t="shared" si="8"/>
        <v>801411 M2G-Pump Sets (Pump)</v>
      </c>
      <c r="D86" s="30"/>
      <c r="E86" s="30"/>
      <c r="F86" s="30"/>
      <c r="G86" s="30"/>
      <c r="H86" s="30"/>
    </row>
    <row r="87" spans="2:8">
      <c r="D87" s="30"/>
      <c r="E87" s="30"/>
      <c r="F87" s="30"/>
      <c r="G87" s="30"/>
      <c r="H87" s="30"/>
    </row>
    <row r="88" spans="2:8">
      <c r="B88" s="2" t="s">
        <v>49</v>
      </c>
      <c r="D88" s="48">
        <f>SUM(D67:D87)</f>
        <v>0</v>
      </c>
      <c r="E88" s="48">
        <f>SUM(E67:E87)</f>
        <v>0</v>
      </c>
      <c r="F88" s="48">
        <f>SUM(F67:F87)</f>
        <v>0</v>
      </c>
      <c r="G88" s="48">
        <f>SUM(G67:G87)</f>
        <v>0</v>
      </c>
      <c r="H88" s="48">
        <f>SUM(H67:H87)</f>
        <v>0</v>
      </c>
    </row>
    <row r="89" spans="2:8">
      <c r="D89" s="70"/>
      <c r="E89" s="70"/>
      <c r="F89" s="70"/>
      <c r="G89" s="70"/>
      <c r="H89" s="70"/>
    </row>
    <row r="90" spans="2:8" ht="15.75">
      <c r="B90" s="10" t="s">
        <v>12</v>
      </c>
      <c r="D90" s="30"/>
      <c r="E90" s="30"/>
      <c r="F90" s="30"/>
      <c r="G90" s="30"/>
      <c r="H90" s="30"/>
    </row>
    <row r="91" spans="2:8">
      <c r="B91" s="2" t="str">
        <f>B67</f>
        <v>Water Assets (excluding Water Security)</v>
      </c>
      <c r="D91" s="30">
        <f t="shared" ref="D91:H100" ca="1" si="9">(D43+D67)*D$6</f>
        <v>20657865.424179859</v>
      </c>
      <c r="E91" s="30">
        <f t="shared" ca="1" si="9"/>
        <v>20762482.068961821</v>
      </c>
      <c r="F91" s="30">
        <f t="shared" ca="1" si="9"/>
        <v>20859418.38009277</v>
      </c>
      <c r="G91" s="30">
        <f t="shared" ca="1" si="9"/>
        <v>20948224.955487162</v>
      </c>
      <c r="H91" s="30">
        <f t="shared" ca="1" si="9"/>
        <v>21028434.723163713</v>
      </c>
    </row>
    <row r="92" spans="2:8">
      <c r="B92" s="2" t="str">
        <f>B68</f>
        <v>801410 ECD-Dams &amp; Weirs</v>
      </c>
      <c r="D92" s="30">
        <f t="shared" ca="1" si="9"/>
        <v>9485550.0800487753</v>
      </c>
      <c r="E92" s="30">
        <f t="shared" ca="1" si="9"/>
        <v>9657400.610003531</v>
      </c>
      <c r="F92" s="30">
        <f t="shared" ca="1" si="9"/>
        <v>9831915.1976559944</v>
      </c>
      <c r="G92" s="30">
        <f t="shared" ca="1" si="9"/>
        <v>10009119.639309827</v>
      </c>
      <c r="H92" s="30">
        <f t="shared" ca="1" si="9"/>
        <v>10189039.356047817</v>
      </c>
    </row>
    <row r="93" spans="2:8">
      <c r="B93" s="2" t="str">
        <f t="shared" ref="B93:B110" si="10">B69</f>
        <v>801410 ECD-Dams or Weirs intake structures</v>
      </c>
      <c r="D93" s="30">
        <f t="shared" ca="1" si="9"/>
        <v>319398.28165140451</v>
      </c>
      <c r="E93" s="30">
        <f t="shared" ca="1" si="9"/>
        <v>325184.84480168018</v>
      </c>
      <c r="F93" s="30">
        <f t="shared" ca="1" si="9"/>
        <v>331061.11218343757</v>
      </c>
      <c r="G93" s="30">
        <f t="shared" ca="1" si="9"/>
        <v>337027.95240628172</v>
      </c>
      <c r="H93" s="30">
        <f t="shared" ca="1" si="9"/>
        <v>343086.22144515347</v>
      </c>
    </row>
    <row r="94" spans="2:8">
      <c r="B94" s="2" t="str">
        <f t="shared" si="10"/>
        <v>801410 ECD-Valves</v>
      </c>
      <c r="D94" s="30">
        <f t="shared" ca="1" si="9"/>
        <v>85921.296019547139</v>
      </c>
      <c r="E94" s="30">
        <f t="shared" ca="1" si="9"/>
        <v>85103.613160315625</v>
      </c>
      <c r="F94" s="30">
        <f t="shared" ca="1" si="9"/>
        <v>84191.345348110306</v>
      </c>
      <c r="G94" s="30">
        <f t="shared" ca="1" si="9"/>
        <v>83180.274387069541</v>
      </c>
      <c r="H94" s="30">
        <f t="shared" ca="1" si="9"/>
        <v>82066.03028713417</v>
      </c>
    </row>
    <row r="95" spans="2:8">
      <c r="B95" s="2" t="str">
        <f t="shared" si="10"/>
        <v>801410 ECD-Flow Meters</v>
      </c>
      <c r="D95" s="30">
        <f t="shared" ca="1" si="9"/>
        <v>8993.2913059148686</v>
      </c>
      <c r="E95" s="30">
        <f t="shared" ca="1" si="9"/>
        <v>8749.3720883233145</v>
      </c>
      <c r="F95" s="30">
        <f t="shared" ca="1" si="9"/>
        <v>8487.6361027859839</v>
      </c>
      <c r="G95" s="30">
        <f t="shared" ca="1" si="9"/>
        <v>8207.3449604165853</v>
      </c>
      <c r="H95" s="30">
        <f t="shared" ca="1" si="9"/>
        <v>7907.7344883644764</v>
      </c>
    </row>
    <row r="96" spans="2:8">
      <c r="B96" s="2" t="str">
        <f t="shared" si="10"/>
        <v>801410 ECD-Pressure sensors, transmitters and meters</v>
      </c>
      <c r="D96" s="30">
        <f t="shared" ca="1" si="9"/>
        <v>39781.970759231197</v>
      </c>
      <c r="E96" s="30">
        <f t="shared" ca="1" si="9"/>
        <v>36557.849130615265</v>
      </c>
      <c r="F96" s="30">
        <f t="shared" ca="1" si="9"/>
        <v>33147.657688844025</v>
      </c>
      <c r="G96" s="30">
        <f t="shared" ca="1" si="9"/>
        <v>29544.108019277584</v>
      </c>
      <c r="H96" s="30">
        <f t="shared" ca="1" si="9"/>
        <v>25739.663580177294</v>
      </c>
    </row>
    <row r="97" spans="2:8">
      <c r="B97" s="2" t="str">
        <f t="shared" si="10"/>
        <v>801416 ECD-Dams &amp; Weirs</v>
      </c>
      <c r="D97" s="30">
        <f t="shared" ca="1" si="9"/>
        <v>238004.42293787349</v>
      </c>
      <c r="E97" s="30">
        <f t="shared" ca="1" si="9"/>
        <v>242316.37484420638</v>
      </c>
      <c r="F97" s="30">
        <f t="shared" ca="1" si="9"/>
        <v>246695.17158151974</v>
      </c>
      <c r="G97" s="30">
        <f t="shared" ca="1" si="9"/>
        <v>251141.4604214211</v>
      </c>
      <c r="H97" s="30">
        <f t="shared" ca="1" si="9"/>
        <v>255655.87922107909</v>
      </c>
    </row>
    <row r="98" spans="2:8">
      <c r="B98" s="2" t="str">
        <f t="shared" si="10"/>
        <v>801416 ECD-Dams or Weir intake structures</v>
      </c>
      <c r="D98" s="30">
        <f t="shared" ca="1" si="9"/>
        <v>8768.5842549895806</v>
      </c>
      <c r="E98" s="30">
        <f t="shared" ca="1" si="9"/>
        <v>8927.4398490237218</v>
      </c>
      <c r="F98" s="30">
        <f t="shared" ca="1" si="9"/>
        <v>9088.7578576002034</v>
      </c>
      <c r="G98" s="30">
        <f t="shared" ca="1" si="9"/>
        <v>9252.5621166998681</v>
      </c>
      <c r="H98" s="30">
        <f t="shared" ca="1" si="9"/>
        <v>9418.876115093517</v>
      </c>
    </row>
    <row r="99" spans="2:8">
      <c r="B99" s="2" t="str">
        <f t="shared" si="10"/>
        <v>801416 ECD-Valves</v>
      </c>
      <c r="D99" s="30">
        <f t="shared" ca="1" si="9"/>
        <v>2358.8361248141205</v>
      </c>
      <c r="E99" s="30">
        <f t="shared" ca="1" si="9"/>
        <v>2336.3852685089869</v>
      </c>
      <c r="F99" s="30">
        <f t="shared" ca="1" si="9"/>
        <v>2311.3375968105875</v>
      </c>
      <c r="G99" s="30">
        <f t="shared" ca="1" si="9"/>
        <v>2283.5773007344501</v>
      </c>
      <c r="H99" s="30">
        <f t="shared" ca="1" si="9"/>
        <v>2252.9844038564993</v>
      </c>
    </row>
    <row r="100" spans="2:8">
      <c r="B100" s="2" t="str">
        <f t="shared" si="10"/>
        <v>801416 ECD-Flow Meters</v>
      </c>
      <c r="D100" s="30">
        <f t="shared" ca="1" si="9"/>
        <v>246.89706488804904</v>
      </c>
      <c r="E100" s="30">
        <f t="shared" ca="1" si="9"/>
        <v>240.19745792941504</v>
      </c>
      <c r="F100" s="30">
        <f t="shared" ca="1" si="9"/>
        <v>233.00855995729427</v>
      </c>
      <c r="G100" s="30">
        <f t="shared" ca="1" si="9"/>
        <v>225.3100936753616</v>
      </c>
      <c r="H100" s="30">
        <f t="shared" ca="1" si="9"/>
        <v>217.08107372935899</v>
      </c>
    </row>
    <row r="101" spans="2:8">
      <c r="B101" s="2" t="str">
        <f t="shared" si="10"/>
        <v>801416 ECD-Pressure sensors, transmitters and meters</v>
      </c>
      <c r="D101" s="30">
        <f t="shared" ref="D101:H110" ca="1" si="11">(D53+D77)*D$6</f>
        <v>1092.1524909374464</v>
      </c>
      <c r="E101" s="30">
        <f t="shared" ca="1" si="11"/>
        <v>1003.6367403289935</v>
      </c>
      <c r="F101" s="30">
        <f t="shared" ca="1" si="11"/>
        <v>910.01260688328205</v>
      </c>
      <c r="G101" s="30">
        <f t="shared" ca="1" si="11"/>
        <v>811.07999380257945</v>
      </c>
      <c r="H101" s="30">
        <f t="shared" ca="1" si="11"/>
        <v>706.6319921885397</v>
      </c>
    </row>
    <row r="102" spans="2:8">
      <c r="B102" s="2" t="str">
        <f t="shared" si="10"/>
        <v>801411 M2G-Cathodic protections systems</v>
      </c>
      <c r="D102" s="30">
        <f t="shared" ca="1" si="11"/>
        <v>13384.420276756617</v>
      </c>
      <c r="E102" s="30">
        <f t="shared" ca="1" si="11"/>
        <v>13003.379028321893</v>
      </c>
      <c r="F102" s="30">
        <f t="shared" ca="1" si="11"/>
        <v>12594.92045479246</v>
      </c>
      <c r="G102" s="30">
        <f t="shared" ca="1" si="11"/>
        <v>12157.911840693854</v>
      </c>
      <c r="H102" s="30">
        <f t="shared" ca="1" si="11"/>
        <v>11691.180970606072</v>
      </c>
    </row>
    <row r="103" spans="2:8">
      <c r="B103" s="2" t="str">
        <f t="shared" si="10"/>
        <v>801411 M2G-Valves (Bulk)</v>
      </c>
      <c r="D103" s="30">
        <f t="shared" ca="1" si="11"/>
        <v>67889.976646958792</v>
      </c>
      <c r="E103" s="30">
        <f t="shared" ca="1" si="11"/>
        <v>67204.09209211063</v>
      </c>
      <c r="F103" s="30">
        <f t="shared" ca="1" si="11"/>
        <v>66441.482074115702</v>
      </c>
      <c r="G103" s="30">
        <f t="shared" ca="1" si="11"/>
        <v>65598.738997663473</v>
      </c>
      <c r="H103" s="30">
        <f t="shared" ca="1" si="11"/>
        <v>64672.332841092291</v>
      </c>
    </row>
    <row r="104" spans="2:8">
      <c r="B104" s="2" t="str">
        <f t="shared" si="10"/>
        <v>801411 M2G-Valves (Pump)</v>
      </c>
      <c r="D104" s="30">
        <f t="shared" ca="1" si="11"/>
        <v>61077.251041932475</v>
      </c>
      <c r="E104" s="30">
        <f t="shared" ca="1" si="11"/>
        <v>60460.198210307601</v>
      </c>
      <c r="F104" s="30">
        <f t="shared" ca="1" si="11"/>
        <v>59774.119455200263</v>
      </c>
      <c r="G104" s="30">
        <f t="shared" ca="1" si="11"/>
        <v>59015.949138456119</v>
      </c>
      <c r="H104" s="30">
        <f t="shared" ca="1" si="11"/>
        <v>58182.511481215275</v>
      </c>
    </row>
    <row r="105" spans="2:8">
      <c r="B105" s="2" t="str">
        <f t="shared" si="10"/>
        <v>801411 M2G-Flow Meters (Bulk)</v>
      </c>
      <c r="D105" s="30">
        <f t="shared" ca="1" si="11"/>
        <v>13384.408389619182</v>
      </c>
      <c r="E105" s="30">
        <f t="shared" ca="1" si="11"/>
        <v>13003.354227622211</v>
      </c>
      <c r="F105" s="30">
        <f t="shared" ca="1" si="11"/>
        <v>12594.882102281877</v>
      </c>
      <c r="G105" s="30">
        <f t="shared" ca="1" si="11"/>
        <v>12157.859274282264</v>
      </c>
      <c r="H105" s="30">
        <f t="shared" ca="1" si="11"/>
        <v>11691.113503568742</v>
      </c>
    </row>
    <row r="106" spans="2:8">
      <c r="B106" s="2" t="str">
        <f t="shared" si="10"/>
        <v>801411 M2G-Flow Meters (Pump)</v>
      </c>
      <c r="D106" s="30">
        <f t="shared" ca="1" si="11"/>
        <v>20068.823980229146</v>
      </c>
      <c r="E106" s="30">
        <f t="shared" ca="1" si="11"/>
        <v>19497.4769791783</v>
      </c>
      <c r="F106" s="30">
        <f t="shared" ca="1" si="11"/>
        <v>18885.019613087276</v>
      </c>
      <c r="G106" s="30">
        <f t="shared" ca="1" si="11"/>
        <v>18229.75345557971</v>
      </c>
      <c r="H106" s="30">
        <f t="shared" ca="1" si="11"/>
        <v>17529.920852938591</v>
      </c>
    </row>
    <row r="107" spans="2:8">
      <c r="B107" s="2" t="str">
        <f t="shared" si="10"/>
        <v>801411 M2G-Water Mains (Bulk)</v>
      </c>
      <c r="D107" s="30">
        <f t="shared" ca="1" si="11"/>
        <v>1287872.3584057973</v>
      </c>
      <c r="E107" s="30">
        <f t="shared" ca="1" si="11"/>
        <v>1306757.9740646153</v>
      </c>
      <c r="F107" s="30">
        <f t="shared" ca="1" si="11"/>
        <v>1325782.9502823707</v>
      </c>
      <c r="G107" s="30">
        <f t="shared" ca="1" si="11"/>
        <v>1344942.4515772231</v>
      </c>
      <c r="H107" s="30">
        <f t="shared" ca="1" si="11"/>
        <v>1364231.3135928919</v>
      </c>
    </row>
    <row r="108" spans="2:8">
      <c r="B108" s="2" t="str">
        <f t="shared" si="10"/>
        <v>801411 M2G-Water Mains (Pump)</v>
      </c>
      <c r="D108" s="30">
        <f t="shared" ca="1" si="11"/>
        <v>228404.74748533696</v>
      </c>
      <c r="E108" s="30">
        <f t="shared" ca="1" si="11"/>
        <v>231754.12312861864</v>
      </c>
      <c r="F108" s="30">
        <f t="shared" ca="1" si="11"/>
        <v>235128.21458688608</v>
      </c>
      <c r="G108" s="30">
        <f t="shared" ca="1" si="11"/>
        <v>238526.16429111149</v>
      </c>
      <c r="H108" s="30">
        <f t="shared" ca="1" si="11"/>
        <v>241947.05634643137</v>
      </c>
    </row>
    <row r="109" spans="2:8">
      <c r="B109" s="2" t="str">
        <f t="shared" si="10"/>
        <v>801411 M2G-Telemetry (Pump)</v>
      </c>
      <c r="D109" s="30">
        <f t="shared" ca="1" si="11"/>
        <v>287996.22496605979</v>
      </c>
      <c r="E109" s="30">
        <f t="shared" ca="1" si="11"/>
        <v>263004.13726856967</v>
      </c>
      <c r="F109" s="30">
        <f t="shared" ca="1" si="11"/>
        <v>236582.44754560126</v>
      </c>
      <c r="G109" s="30">
        <f t="shared" ca="1" si="11"/>
        <v>208675.29575069156</v>
      </c>
      <c r="H109" s="30">
        <f t="shared" ca="1" si="11"/>
        <v>179224.92233632039</v>
      </c>
    </row>
    <row r="110" spans="2:8">
      <c r="B110" s="2" t="str">
        <f t="shared" si="10"/>
        <v>801411 M2G-Pump Sets (Pump)</v>
      </c>
      <c r="D110" s="30">
        <f t="shared" ca="1" si="11"/>
        <v>1416983.9083361509</v>
      </c>
      <c r="E110" s="30">
        <f t="shared" ca="1" si="11"/>
        <v>1392316.7929575937</v>
      </c>
      <c r="F110" s="30">
        <f t="shared" ca="1" si="11"/>
        <v>1365530.7068673985</v>
      </c>
      <c r="G110" s="30">
        <f t="shared" ca="1" si="11"/>
        <v>1336535.1184770949</v>
      </c>
      <c r="H110" s="30">
        <f t="shared" ca="1" si="11"/>
        <v>1305236.2939754843</v>
      </c>
    </row>
    <row r="111" spans="2:8">
      <c r="D111" s="30"/>
      <c r="E111" s="30"/>
      <c r="F111" s="30"/>
      <c r="G111" s="30"/>
      <c r="H111" s="30"/>
    </row>
    <row r="112" spans="2:8">
      <c r="B112" s="2" t="s">
        <v>49</v>
      </c>
      <c r="D112" s="48">
        <f ca="1">SUM(D91:D111)</f>
        <v>34245043.356367081</v>
      </c>
      <c r="E112" s="48">
        <f ca="1">SUM(E91:E111)</f>
        <v>34497303.920263216</v>
      </c>
      <c r="F112" s="48">
        <f ca="1">SUM(F91:F111)</f>
        <v>34740774.360256441</v>
      </c>
      <c r="G112" s="48">
        <f ca="1">SUM(G91:G111)</f>
        <v>34974857.50729917</v>
      </c>
      <c r="H112" s="48">
        <f ca="1">SUM(H91:H111)</f>
        <v>35198931.827718846</v>
      </c>
    </row>
    <row r="113" spans="2:8">
      <c r="D113" s="70"/>
      <c r="E113" s="70"/>
      <c r="F113" s="70"/>
      <c r="G113" s="70"/>
      <c r="H113" s="70"/>
    </row>
    <row r="114" spans="2:8" ht="15.75">
      <c r="B114" s="10" t="s">
        <v>13</v>
      </c>
      <c r="D114" s="30"/>
      <c r="E114" s="30"/>
      <c r="F114" s="30"/>
      <c r="G114" s="30"/>
      <c r="H114" s="30"/>
    </row>
    <row r="115" spans="2:8">
      <c r="B115" s="2" t="str">
        <f>B91</f>
        <v>Water Assets (excluding Water Security)</v>
      </c>
      <c r="D115" s="30">
        <f t="shared" ref="D115:H124" ca="1" si="12">IF(D21&lt;1,-(D43+D67+D91),-(D43+D67+D91)/D21)</f>
        <v>-16473199.632901393</v>
      </c>
      <c r="E115" s="30">
        <f t="shared" ca="1" si="12"/>
        <v>-16885029.623723928</v>
      </c>
      <c r="F115" s="30">
        <f t="shared" ca="1" si="12"/>
        <v>-17307155.364317026</v>
      </c>
      <c r="G115" s="30">
        <f t="shared" ca="1" si="12"/>
        <v>-17739834.248424947</v>
      </c>
      <c r="H115" s="30">
        <f t="shared" ca="1" si="12"/>
        <v>-18183330.10463557</v>
      </c>
    </row>
    <row r="116" spans="2:8">
      <c r="B116" s="2" t="str">
        <f t="shared" ref="B116:B134" si="13">B92</f>
        <v>801410 ECD-Dams &amp; Weirs</v>
      </c>
      <c r="D116" s="30">
        <f t="shared" ca="1" si="12"/>
        <v>-2611528.8818585863</v>
      </c>
      <c r="E116" s="30">
        <f t="shared" ca="1" si="12"/>
        <v>-2676817.103905051</v>
      </c>
      <c r="F116" s="30">
        <f t="shared" ca="1" si="12"/>
        <v>-2743737.5315026776</v>
      </c>
      <c r="G116" s="30">
        <f t="shared" ca="1" si="12"/>
        <v>-2812330.9697902445</v>
      </c>
      <c r="H116" s="30">
        <f t="shared" ca="1" si="12"/>
        <v>-2882639.2440350009</v>
      </c>
    </row>
    <row r="117" spans="2:8">
      <c r="B117" s="2" t="str">
        <f t="shared" si="13"/>
        <v>801410 ECD-Dams or Weirs intake structures</v>
      </c>
      <c r="D117" s="30">
        <f t="shared" ca="1" si="12"/>
        <v>-87935.755640375733</v>
      </c>
      <c r="E117" s="30">
        <f t="shared" ca="1" si="12"/>
        <v>-90134.149531385105</v>
      </c>
      <c r="F117" s="30">
        <f t="shared" ca="1" si="12"/>
        <v>-92387.503269669731</v>
      </c>
      <c r="G117" s="30">
        <f t="shared" ca="1" si="12"/>
        <v>-94697.190851411477</v>
      </c>
      <c r="H117" s="30">
        <f t="shared" ca="1" si="12"/>
        <v>-97064.620622696777</v>
      </c>
    </row>
    <row r="118" spans="2:8">
      <c r="B118" s="2" t="str">
        <f t="shared" si="13"/>
        <v>801410 ECD-Valves</v>
      </c>
      <c r="D118" s="30">
        <f t="shared" ca="1" si="12"/>
        <v>-118628.61038880771</v>
      </c>
      <c r="E118" s="30">
        <f t="shared" ca="1" si="12"/>
        <v>-121594.3256485279</v>
      </c>
      <c r="F118" s="30">
        <f t="shared" ca="1" si="12"/>
        <v>-124634.1837897411</v>
      </c>
      <c r="G118" s="30">
        <f t="shared" ca="1" si="12"/>
        <v>-127750.03838448462</v>
      </c>
      <c r="H118" s="30">
        <f t="shared" ca="1" si="12"/>
        <v>-130943.78934409673</v>
      </c>
    </row>
    <row r="119" spans="2:8">
      <c r="B119" s="2" t="str">
        <f t="shared" si="13"/>
        <v>801410 ECD-Flow Meters</v>
      </c>
      <c r="D119" s="30">
        <f t="shared" ca="1" si="12"/>
        <v>-18750.060009577079</v>
      </c>
      <c r="E119" s="30">
        <f t="shared" ca="1" si="12"/>
        <v>-19218.811509816504</v>
      </c>
      <c r="F119" s="30">
        <f t="shared" ca="1" si="12"/>
        <v>-19699.281797561918</v>
      </c>
      <c r="G119" s="30">
        <f t="shared" ca="1" si="12"/>
        <v>-20191.763842500968</v>
      </c>
      <c r="H119" s="30">
        <f t="shared" ca="1" si="12"/>
        <v>-20696.557938563492</v>
      </c>
    </row>
    <row r="120" spans="2:8">
      <c r="B120" s="2" t="str">
        <f t="shared" si="13"/>
        <v>801410 ECD-Pressure sensors, transmitters and meters</v>
      </c>
      <c r="D120" s="30">
        <f t="shared" ca="1" si="12"/>
        <v>-168746.83590386828</v>
      </c>
      <c r="E120" s="30">
        <f t="shared" ca="1" si="12"/>
        <v>-172965.506801465</v>
      </c>
      <c r="F120" s="30">
        <f t="shared" ca="1" si="12"/>
        <v>-177289.64447150161</v>
      </c>
      <c r="G120" s="30">
        <f t="shared" ca="1" si="12"/>
        <v>-181721.88558328914</v>
      </c>
      <c r="H120" s="30">
        <f t="shared" ca="1" si="12"/>
        <v>-186264.9327228714</v>
      </c>
    </row>
    <row r="121" spans="2:8">
      <c r="B121" s="2" t="str">
        <f t="shared" si="13"/>
        <v>801416 ECD-Dams &amp; Weirs</v>
      </c>
      <c r="D121" s="30">
        <f t="shared" ca="1" si="12"/>
        <v>-65526.346684558557</v>
      </c>
      <c r="E121" s="30">
        <f t="shared" ca="1" si="12"/>
        <v>-67164.505351672531</v>
      </c>
      <c r="F121" s="30">
        <f t="shared" ca="1" si="12"/>
        <v>-68843.617985464341</v>
      </c>
      <c r="G121" s="30">
        <f t="shared" ca="1" si="12"/>
        <v>-70564.708435100954</v>
      </c>
      <c r="H121" s="30">
        <f t="shared" ca="1" si="12"/>
        <v>-72328.82614597847</v>
      </c>
    </row>
    <row r="122" spans="2:8">
      <c r="B122" s="2" t="str">
        <f t="shared" si="13"/>
        <v>801416 ECD-Dams or Weir intake structures</v>
      </c>
      <c r="D122" s="30">
        <f t="shared" ca="1" si="12"/>
        <v>-2414.3604936238939</v>
      </c>
      <c r="E122" s="30">
        <f t="shared" ca="1" si="12"/>
        <v>-2474.7195059644914</v>
      </c>
      <c r="F122" s="30">
        <f t="shared" ca="1" si="12"/>
        <v>-2536.5874936136038</v>
      </c>
      <c r="G122" s="30">
        <f t="shared" ca="1" si="12"/>
        <v>-2600.0021809539439</v>
      </c>
      <c r="H122" s="30">
        <f t="shared" ca="1" si="12"/>
        <v>-2665.002235477793</v>
      </c>
    </row>
    <row r="123" spans="2:8">
      <c r="B123" s="2" t="str">
        <f t="shared" si="13"/>
        <v>801416 ECD-Valves</v>
      </c>
      <c r="D123" s="30">
        <f t="shared" ca="1" si="12"/>
        <v>-3256.8703770194711</v>
      </c>
      <c r="E123" s="30">
        <f t="shared" ca="1" si="12"/>
        <v>-3338.2921364449576</v>
      </c>
      <c r="F123" s="30">
        <f t="shared" ca="1" si="12"/>
        <v>-3421.7494398560816</v>
      </c>
      <c r="G123" s="30">
        <f t="shared" ca="1" si="12"/>
        <v>-3507.2931758524837</v>
      </c>
      <c r="H123" s="30">
        <f t="shared" ca="1" si="12"/>
        <v>-3594.9755052487963</v>
      </c>
    </row>
    <row r="124" spans="2:8">
      <c r="B124" s="2" t="str">
        <f t="shared" si="13"/>
        <v>801416 ECD-Flow Meters</v>
      </c>
      <c r="D124" s="30">
        <f t="shared" ca="1" si="12"/>
        <v>-514.88134323341023</v>
      </c>
      <c r="E124" s="30">
        <f t="shared" ca="1" si="12"/>
        <v>-527.75337681424548</v>
      </c>
      <c r="F124" s="30">
        <f t="shared" ca="1" si="12"/>
        <v>-540.94721123460158</v>
      </c>
      <c r="G124" s="30">
        <f t="shared" ca="1" si="12"/>
        <v>-554.47089151546663</v>
      </c>
      <c r="H124" s="30">
        <f t="shared" ca="1" si="12"/>
        <v>-568.3326638033534</v>
      </c>
    </row>
    <row r="125" spans="2:8">
      <c r="B125" s="2" t="str">
        <f t="shared" si="13"/>
        <v>801416 ECD-Pressure sensors, transmitters and meters</v>
      </c>
      <c r="D125" s="30">
        <f t="shared" ref="D125:H134" ca="1" si="14">IF(D31&lt;1,-(D53+D77+D101),-(D53+D77+D101)/D31)</f>
        <v>-4632.7825152755613</v>
      </c>
      <c r="E125" s="30">
        <f t="shared" ca="1" si="14"/>
        <v>-4748.6020781574507</v>
      </c>
      <c r="F125" s="30">
        <f t="shared" ca="1" si="14"/>
        <v>-4867.3171301113871</v>
      </c>
      <c r="G125" s="30">
        <f t="shared" ca="1" si="14"/>
        <v>-4989.0000583641713</v>
      </c>
      <c r="H125" s="30">
        <f t="shared" ca="1" si="14"/>
        <v>-5113.7250598232768</v>
      </c>
    </row>
    <row r="126" spans="2:8">
      <c r="B126" s="2" t="str">
        <f t="shared" si="13"/>
        <v>801411 M2G-Cathodic protections systems</v>
      </c>
      <c r="D126" s="30">
        <f t="shared" ca="1" si="14"/>
        <v>-28626.070214145613</v>
      </c>
      <c r="E126" s="30">
        <f t="shared" ca="1" si="14"/>
        <v>-29341.72196949926</v>
      </c>
      <c r="F126" s="30">
        <f t="shared" ca="1" si="14"/>
        <v>-30075.26501873674</v>
      </c>
      <c r="G126" s="30">
        <f t="shared" ca="1" si="14"/>
        <v>-30827.146644205161</v>
      </c>
      <c r="H126" s="30">
        <f t="shared" ca="1" si="14"/>
        <v>-31597.825310310287</v>
      </c>
    </row>
    <row r="127" spans="2:8">
      <c r="B127" s="2" t="str">
        <f t="shared" si="13"/>
        <v>801411 M2G-Valves (Bulk)</v>
      </c>
      <c r="D127" s="30">
        <f t="shared" ca="1" si="14"/>
        <v>-95325.358840885587</v>
      </c>
      <c r="E127" s="30">
        <f t="shared" ca="1" si="14"/>
        <v>-97708.492811907738</v>
      </c>
      <c r="F127" s="30">
        <f t="shared" ca="1" si="14"/>
        <v>-100151.20513220545</v>
      </c>
      <c r="G127" s="30">
        <f t="shared" ca="1" si="14"/>
        <v>-102654.98526051057</v>
      </c>
      <c r="H127" s="30">
        <f t="shared" ca="1" si="14"/>
        <v>-105221.35989202335</v>
      </c>
    </row>
    <row r="128" spans="2:8">
      <c r="B128" s="2" t="str">
        <f t="shared" si="13"/>
        <v>801411 M2G-Valves (Pump)</v>
      </c>
      <c r="D128" s="30">
        <f t="shared" ca="1" si="14"/>
        <v>-85759.364306927528</v>
      </c>
      <c r="E128" s="30">
        <f t="shared" ca="1" si="14"/>
        <v>-87903.34841460071</v>
      </c>
      <c r="F128" s="30">
        <f t="shared" ca="1" si="14"/>
        <v>-90100.932124965722</v>
      </c>
      <c r="G128" s="30">
        <f t="shared" ca="1" si="14"/>
        <v>-92353.455428089859</v>
      </c>
      <c r="H128" s="30">
        <f t="shared" ca="1" si="14"/>
        <v>-94662.291813792093</v>
      </c>
    </row>
    <row r="129" spans="2:8">
      <c r="B129" s="2" t="str">
        <f t="shared" si="13"/>
        <v>801411 M2G-Flow Meters (Bulk)</v>
      </c>
      <c r="D129" s="30">
        <f t="shared" ca="1" si="14"/>
        <v>-28626.574869498101</v>
      </c>
      <c r="E129" s="30">
        <f t="shared" ca="1" si="14"/>
        <v>-29342.239241235555</v>
      </c>
      <c r="F129" s="30">
        <f t="shared" ca="1" si="14"/>
        <v>-30075.795222266446</v>
      </c>
      <c r="G129" s="30">
        <f t="shared" ca="1" si="14"/>
        <v>-30827.690102823104</v>
      </c>
      <c r="H129" s="30">
        <f t="shared" ca="1" si="14"/>
        <v>-31598.382355393685</v>
      </c>
    </row>
    <row r="130" spans="2:8">
      <c r="B130" s="2" t="str">
        <f t="shared" si="13"/>
        <v>801411 M2G-Flow Meters (Pump)</v>
      </c>
      <c r="D130" s="30">
        <f t="shared" ca="1" si="14"/>
        <v>-42922.704022262784</v>
      </c>
      <c r="E130" s="30">
        <f t="shared" ca="1" si="14"/>
        <v>-43995.771622819353</v>
      </c>
      <c r="F130" s="30">
        <f t="shared" ca="1" si="14"/>
        <v>-45095.665913389836</v>
      </c>
      <c r="G130" s="30">
        <f t="shared" ca="1" si="14"/>
        <v>-46223.057561224581</v>
      </c>
      <c r="H130" s="30">
        <f t="shared" ca="1" si="14"/>
        <v>-47378.634000255195</v>
      </c>
    </row>
    <row r="131" spans="2:8">
      <c r="B131" s="2" t="str">
        <f t="shared" si="13"/>
        <v>801411 M2G-Water Mains (Bulk)</v>
      </c>
      <c r="D131" s="30">
        <f t="shared" ca="1" si="14"/>
        <v>-532447.73205308232</v>
      </c>
      <c r="E131" s="30">
        <f t="shared" ca="1" si="14"/>
        <v>-545758.9253544095</v>
      </c>
      <c r="F131" s="30">
        <f t="shared" ca="1" si="14"/>
        <v>-559402.89848826977</v>
      </c>
      <c r="G131" s="30">
        <f t="shared" ca="1" si="14"/>
        <v>-573387.97095047648</v>
      </c>
      <c r="H131" s="30">
        <f t="shared" ca="1" si="14"/>
        <v>-587722.67022423842</v>
      </c>
    </row>
    <row r="132" spans="2:8">
      <c r="B132" s="2" t="str">
        <f t="shared" si="13"/>
        <v>801411 M2G-Water Mains (Pump)</v>
      </c>
      <c r="D132" s="30">
        <f t="shared" ca="1" si="14"/>
        <v>-94429.721754069542</v>
      </c>
      <c r="E132" s="30">
        <f t="shared" ca="1" si="14"/>
        <v>-96790.464797921275</v>
      </c>
      <c r="F132" s="30">
        <f t="shared" ca="1" si="14"/>
        <v>-99210.2264178693</v>
      </c>
      <c r="G132" s="30">
        <f t="shared" ca="1" si="14"/>
        <v>-101690.48207831604</v>
      </c>
      <c r="H132" s="30">
        <f t="shared" ca="1" si="14"/>
        <v>-104232.74413027395</v>
      </c>
    </row>
    <row r="133" spans="2:8">
      <c r="B133" s="2" t="str">
        <f t="shared" si="13"/>
        <v>801411 M2G-Telemetry (Pump)</v>
      </c>
      <c r="D133" s="30">
        <f t="shared" ca="1" si="14"/>
        <v>-1287679.7328656646</v>
      </c>
      <c r="E133" s="30">
        <f t="shared" ca="1" si="14"/>
        <v>-1319871.7261873062</v>
      </c>
      <c r="F133" s="30">
        <f t="shared" ca="1" si="14"/>
        <v>-1352868.5193419887</v>
      </c>
      <c r="G133" s="30">
        <f t="shared" ca="1" si="14"/>
        <v>-1386690.2323255388</v>
      </c>
      <c r="H133" s="30">
        <f t="shared" ca="1" si="14"/>
        <v>-1421357.4881336773</v>
      </c>
    </row>
    <row r="134" spans="2:8">
      <c r="B134" s="2" t="str">
        <f t="shared" si="13"/>
        <v>801411 M2G-Pump Sets (Pump)</v>
      </c>
      <c r="D134" s="30">
        <f t="shared" ca="1" si="14"/>
        <v>-2403668.5234784391</v>
      </c>
      <c r="E134" s="30">
        <f t="shared" ca="1" si="14"/>
        <v>-2463760.2365653999</v>
      </c>
      <c r="F134" s="30">
        <f t="shared" ca="1" si="14"/>
        <v>-2525354.2424795348</v>
      </c>
      <c r="G134" s="30">
        <f t="shared" ca="1" si="14"/>
        <v>-2588488.0985415229</v>
      </c>
      <c r="H134" s="30">
        <f t="shared" ca="1" si="14"/>
        <v>-2653200.3010050613</v>
      </c>
    </row>
    <row r="135" spans="2:8">
      <c r="D135" s="30"/>
      <c r="E135" s="30"/>
      <c r="F135" s="30"/>
      <c r="G135" s="30"/>
      <c r="H135" s="30"/>
    </row>
    <row r="136" spans="2:8">
      <c r="B136" s="2" t="s">
        <v>49</v>
      </c>
      <c r="D136" s="48">
        <f ca="1">SUM(D115:D135)</f>
        <v>-24154620.800521299</v>
      </c>
      <c r="E136" s="48">
        <f ca="1">SUM(E115:E135)</f>
        <v>-24758486.320534334</v>
      </c>
      <c r="F136" s="48">
        <f ca="1">SUM(F115:F135)</f>
        <v>-25377448.478547685</v>
      </c>
      <c r="G136" s="48">
        <f ca="1">SUM(G115:G135)</f>
        <v>-26011884.690511376</v>
      </c>
      <c r="H136" s="48">
        <f ca="1">SUM(H115:H135)</f>
        <v>-26662181.807774153</v>
      </c>
    </row>
    <row r="137" spans="2:8">
      <c r="D137" s="30"/>
      <c r="E137" s="30"/>
      <c r="F137" s="30"/>
      <c r="G137" s="30"/>
      <c r="H137" s="30"/>
    </row>
    <row r="138" spans="2:8" ht="15.75">
      <c r="B138" s="10" t="s">
        <v>118</v>
      </c>
      <c r="D138" s="30"/>
      <c r="E138" s="30"/>
      <c r="F138" s="30"/>
      <c r="G138" s="30"/>
      <c r="H138" s="30"/>
    </row>
    <row r="139" spans="2:8">
      <c r="B139" s="2" t="str">
        <f>B115</f>
        <v>Water Assets (excluding Water Security)</v>
      </c>
      <c r="D139" s="30">
        <f t="shared" ref="D139:H148" ca="1" si="15">D43+D67+D91+D115</f>
        <v>830499282.7584728</v>
      </c>
      <c r="E139" s="30">
        <f t="shared" ca="1" si="15"/>
        <v>834376735.20371068</v>
      </c>
      <c r="F139" s="30">
        <f t="shared" ca="1" si="15"/>
        <v>837928998.21948636</v>
      </c>
      <c r="G139" s="30">
        <f t="shared" ca="1" si="15"/>
        <v>841137388.92654848</v>
      </c>
      <c r="H139" s="30">
        <f t="shared" ca="1" si="15"/>
        <v>843982493.54507661</v>
      </c>
    </row>
    <row r="140" spans="2:8">
      <c r="B140" s="2" t="str">
        <f>B116</f>
        <v>801410 ECD-Dams &amp; Weirs</v>
      </c>
      <c r="D140" s="30">
        <f t="shared" ca="1" si="15"/>
        <v>386296024.40014124</v>
      </c>
      <c r="E140" s="30">
        <f t="shared" ca="1" si="15"/>
        <v>393276607.90623975</v>
      </c>
      <c r="F140" s="30">
        <f t="shared" ca="1" si="15"/>
        <v>400364785.57239306</v>
      </c>
      <c r="G140" s="30">
        <f t="shared" ca="1" si="15"/>
        <v>407561574.24191266</v>
      </c>
      <c r="H140" s="30">
        <f t="shared" ca="1" si="15"/>
        <v>414867974.35392547</v>
      </c>
    </row>
    <row r="141" spans="2:8">
      <c r="B141" s="2" t="str">
        <f t="shared" ref="B141:B158" si="16">B117</f>
        <v>801410 ECD-Dams or Weirs intake structures</v>
      </c>
      <c r="D141" s="30">
        <f t="shared" ca="1" si="15"/>
        <v>13007393.792067207</v>
      </c>
      <c r="E141" s="30">
        <f t="shared" ca="1" si="15"/>
        <v>13242444.487337502</v>
      </c>
      <c r="F141" s="30">
        <f t="shared" ca="1" si="15"/>
        <v>13481118.096251268</v>
      </c>
      <c r="G141" s="30">
        <f t="shared" ca="1" si="15"/>
        <v>13723448.857806139</v>
      </c>
      <c r="H141" s="30">
        <f t="shared" ca="1" si="15"/>
        <v>13969470.458628597</v>
      </c>
    </row>
    <row r="142" spans="2:8">
      <c r="B142" s="2" t="str">
        <f t="shared" si="16"/>
        <v>801410 ECD-Valves</v>
      </c>
      <c r="D142" s="30">
        <f t="shared" ca="1" si="15"/>
        <v>3404144.5264126249</v>
      </c>
      <c r="E142" s="30">
        <f t="shared" ca="1" si="15"/>
        <v>3367653.8139244122</v>
      </c>
      <c r="F142" s="30">
        <f t="shared" ca="1" si="15"/>
        <v>3327210.9754827814</v>
      </c>
      <c r="G142" s="30">
        <f t="shared" ca="1" si="15"/>
        <v>3282641.2114853663</v>
      </c>
      <c r="H142" s="30">
        <f t="shared" ca="1" si="15"/>
        <v>3233763.4524284038</v>
      </c>
    </row>
    <row r="143" spans="2:8">
      <c r="B143" s="2" t="str">
        <f t="shared" si="16"/>
        <v>801410 ECD-Flow Meters</v>
      </c>
      <c r="D143" s="30">
        <f t="shared" ca="1" si="15"/>
        <v>349974.88353293255</v>
      </c>
      <c r="E143" s="30">
        <f t="shared" ca="1" si="15"/>
        <v>339505.44411143934</v>
      </c>
      <c r="F143" s="30">
        <f t="shared" ca="1" si="15"/>
        <v>328293.79841666343</v>
      </c>
      <c r="G143" s="30">
        <f t="shared" ca="1" si="15"/>
        <v>316309.37953457906</v>
      </c>
      <c r="H143" s="30">
        <f t="shared" ca="1" si="15"/>
        <v>303520.55608438002</v>
      </c>
    </row>
    <row r="144" spans="2:8">
      <c r="B144" s="2" t="str">
        <f t="shared" si="16"/>
        <v>801410 ECD-Pressure sensors, transmitters and meters</v>
      </c>
      <c r="D144" s="30">
        <f t="shared" ca="1" si="15"/>
        <v>1462313.9652246106</v>
      </c>
      <c r="E144" s="30">
        <f t="shared" ca="1" si="15"/>
        <v>1325906.3075537609</v>
      </c>
      <c r="F144" s="30">
        <f t="shared" ca="1" si="15"/>
        <v>1181764.3207711033</v>
      </c>
      <c r="G144" s="30">
        <f t="shared" ca="1" si="15"/>
        <v>1029586.5432070917</v>
      </c>
      <c r="H144" s="30">
        <f t="shared" ca="1" si="15"/>
        <v>869061.27406439767</v>
      </c>
    </row>
    <row r="145" spans="2:8">
      <c r="B145" s="2" t="str">
        <f t="shared" si="16"/>
        <v>801416 ECD-Dams &amp; Weirs</v>
      </c>
      <c r="D145" s="30">
        <f t="shared" ca="1" si="15"/>
        <v>9692654.9937682543</v>
      </c>
      <c r="E145" s="30">
        <f t="shared" ca="1" si="15"/>
        <v>9867806.8632607888</v>
      </c>
      <c r="F145" s="30">
        <f t="shared" ca="1" si="15"/>
        <v>10045658.416856844</v>
      </c>
      <c r="G145" s="30">
        <f t="shared" ca="1" si="15"/>
        <v>10226235.168843163</v>
      </c>
      <c r="H145" s="30">
        <f t="shared" ca="1" si="15"/>
        <v>10409562.221918264</v>
      </c>
    </row>
    <row r="146" spans="2:8">
      <c r="B146" s="2" t="str">
        <f t="shared" si="16"/>
        <v>801416 ECD-Dams or Weir intake structures</v>
      </c>
      <c r="D146" s="30">
        <f t="shared" ca="1" si="15"/>
        <v>357097.59396094887</v>
      </c>
      <c r="E146" s="30">
        <f t="shared" ca="1" si="15"/>
        <v>363550.31430400809</v>
      </c>
      <c r="F146" s="30">
        <f t="shared" ca="1" si="15"/>
        <v>370102.48466799472</v>
      </c>
      <c r="G146" s="30">
        <f t="shared" ca="1" si="15"/>
        <v>376755.04460374068</v>
      </c>
      <c r="H146" s="30">
        <f t="shared" ca="1" si="15"/>
        <v>383508.91848335642</v>
      </c>
    </row>
    <row r="147" spans="2:8">
      <c r="B147" s="2" t="str">
        <f t="shared" si="16"/>
        <v>801416 ECD-Valves</v>
      </c>
      <c r="D147" s="30">
        <f t="shared" ca="1" si="15"/>
        <v>93455.410740359468</v>
      </c>
      <c r="E147" s="30">
        <f t="shared" ca="1" si="15"/>
        <v>92453.503872423491</v>
      </c>
      <c r="F147" s="30">
        <f t="shared" ca="1" si="15"/>
        <v>91343.092029377993</v>
      </c>
      <c r="G147" s="30">
        <f t="shared" ca="1" si="15"/>
        <v>90119.376154259968</v>
      </c>
      <c r="H147" s="30">
        <f t="shared" ca="1" si="15"/>
        <v>88777.38505286767</v>
      </c>
    </row>
    <row r="148" spans="2:8">
      <c r="B148" s="2" t="str">
        <f t="shared" si="16"/>
        <v>801416 ECD-Flow Meters</v>
      </c>
      <c r="D148" s="30">
        <f t="shared" ca="1" si="15"/>
        <v>9607.8983171766013</v>
      </c>
      <c r="E148" s="30">
        <f t="shared" ca="1" si="15"/>
        <v>9320.3423982917702</v>
      </c>
      <c r="F148" s="30">
        <f t="shared" ca="1" si="15"/>
        <v>9012.4037470144631</v>
      </c>
      <c r="G148" s="30">
        <f t="shared" ca="1" si="15"/>
        <v>8683.2429491743587</v>
      </c>
      <c r="H148" s="30">
        <f t="shared" ca="1" si="15"/>
        <v>8331.9913591003642</v>
      </c>
    </row>
    <row r="149" spans="2:8">
      <c r="B149" s="2" t="str">
        <f t="shared" si="16"/>
        <v>801416 ECD-Pressure sensors, transmitters and meters</v>
      </c>
      <c r="D149" s="30">
        <f t="shared" ref="D149:H158" ca="1" si="17">D53+D77+D101+D125</f>
        <v>40145.469613159737</v>
      </c>
      <c r="E149" s="30">
        <f t="shared" ca="1" si="17"/>
        <v>36400.504275331281</v>
      </c>
      <c r="F149" s="30">
        <f t="shared" ca="1" si="17"/>
        <v>32443.199752103177</v>
      </c>
      <c r="G149" s="30">
        <f t="shared" ca="1" si="17"/>
        <v>28265.279687541584</v>
      </c>
      <c r="H149" s="30">
        <f t="shared" ca="1" si="17"/>
        <v>23858.186619906846</v>
      </c>
    </row>
    <row r="150" spans="2:8">
      <c r="B150" s="2" t="str">
        <f t="shared" si="16"/>
        <v>801411 M2G-Cathodic protections systems</v>
      </c>
      <c r="D150" s="30">
        <f t="shared" ca="1" si="17"/>
        <v>520135.16113287571</v>
      </c>
      <c r="E150" s="30">
        <f t="shared" ca="1" si="17"/>
        <v>503796.8181916984</v>
      </c>
      <c r="F150" s="30">
        <f t="shared" ca="1" si="17"/>
        <v>486316.47362775414</v>
      </c>
      <c r="G150" s="30">
        <f t="shared" ca="1" si="17"/>
        <v>467647.23882424284</v>
      </c>
      <c r="H150" s="30">
        <f t="shared" ca="1" si="17"/>
        <v>447740.5944845386</v>
      </c>
    </row>
    <row r="151" spans="2:8">
      <c r="B151" s="2" t="str">
        <f t="shared" si="16"/>
        <v>801411 M2G-Valves (Bulk)</v>
      </c>
      <c r="D151" s="30">
        <f t="shared" ca="1" si="17"/>
        <v>2688163.683684425</v>
      </c>
      <c r="E151" s="30">
        <f t="shared" ca="1" si="17"/>
        <v>2657659.2829646282</v>
      </c>
      <c r="F151" s="30">
        <f t="shared" ca="1" si="17"/>
        <v>2623949.5599065386</v>
      </c>
      <c r="G151" s="30">
        <f t="shared" ca="1" si="17"/>
        <v>2586893.3136436916</v>
      </c>
      <c r="H151" s="30">
        <f t="shared" ca="1" si="17"/>
        <v>2546344.2865927606</v>
      </c>
    </row>
    <row r="152" spans="2:8">
      <c r="B152" s="2" t="str">
        <f t="shared" si="16"/>
        <v>801411 M2G-Valves (Pump)</v>
      </c>
      <c r="D152" s="30">
        <f t="shared" ca="1" si="17"/>
        <v>2418407.9284123038</v>
      </c>
      <c r="E152" s="30">
        <f t="shared" ca="1" si="17"/>
        <v>2390964.7782080104</v>
      </c>
      <c r="F152" s="30">
        <f t="shared" ca="1" si="17"/>
        <v>2360637.9655382447</v>
      </c>
      <c r="G152" s="30">
        <f t="shared" ca="1" si="17"/>
        <v>2327300.4592486108</v>
      </c>
      <c r="H152" s="30">
        <f t="shared" ca="1" si="17"/>
        <v>2290820.6789160338</v>
      </c>
    </row>
    <row r="153" spans="2:8">
      <c r="B153" s="2" t="str">
        <f t="shared" si="16"/>
        <v>801411 M2G-Flow Meters (Bulk)</v>
      </c>
      <c r="D153" s="30">
        <f t="shared" ca="1" si="17"/>
        <v>520134.16910488839</v>
      </c>
      <c r="E153" s="30">
        <f t="shared" ca="1" si="17"/>
        <v>503795.28409127507</v>
      </c>
      <c r="F153" s="30">
        <f t="shared" ca="1" si="17"/>
        <v>486314.37097129051</v>
      </c>
      <c r="G153" s="30">
        <f t="shared" ca="1" si="17"/>
        <v>467644.54014274967</v>
      </c>
      <c r="H153" s="30">
        <f t="shared" ca="1" si="17"/>
        <v>447737.27129092475</v>
      </c>
    </row>
    <row r="154" spans="2:8">
      <c r="B154" s="2" t="str">
        <f t="shared" si="16"/>
        <v>801411 M2G-Flow Meters (Pump)</v>
      </c>
      <c r="D154" s="30">
        <f t="shared" ca="1" si="17"/>
        <v>779899.07916713203</v>
      </c>
      <c r="E154" s="30">
        <f t="shared" ca="1" si="17"/>
        <v>755400.78452349093</v>
      </c>
      <c r="F154" s="30">
        <f t="shared" ca="1" si="17"/>
        <v>729190.13822318835</v>
      </c>
      <c r="G154" s="30">
        <f t="shared" ca="1" si="17"/>
        <v>701196.83411754353</v>
      </c>
      <c r="H154" s="30">
        <f t="shared" ca="1" si="17"/>
        <v>671348.12097022694</v>
      </c>
    </row>
    <row r="155" spans="2:8">
      <c r="B155" s="2" t="str">
        <f t="shared" si="16"/>
        <v>801411 M2G-Water Mains (Bulk)</v>
      </c>
      <c r="D155" s="30">
        <f t="shared" ca="1" si="17"/>
        <v>52270318.962584607</v>
      </c>
      <c r="E155" s="30">
        <f t="shared" ca="1" si="17"/>
        <v>53031318.011294819</v>
      </c>
      <c r="F155" s="30">
        <f t="shared" ca="1" si="17"/>
        <v>53797698.063088924</v>
      </c>
      <c r="G155" s="30">
        <f t="shared" ca="1" si="17"/>
        <v>54569252.543715671</v>
      </c>
      <c r="H155" s="30">
        <f t="shared" ca="1" si="17"/>
        <v>55345761.187084317</v>
      </c>
    </row>
    <row r="156" spans="2:8">
      <c r="B156" s="2" t="str">
        <f t="shared" si="16"/>
        <v>801411 M2G-Water Mains (Pump)</v>
      </c>
      <c r="D156" s="30">
        <f t="shared" ca="1" si="17"/>
        <v>9270164.925144745</v>
      </c>
      <c r="E156" s="30">
        <f t="shared" ca="1" si="17"/>
        <v>9405128.5834754426</v>
      </c>
      <c r="F156" s="30">
        <f t="shared" ca="1" si="17"/>
        <v>9541046.5716444589</v>
      </c>
      <c r="G156" s="30">
        <f t="shared" ca="1" si="17"/>
        <v>9677882.253857255</v>
      </c>
      <c r="H156" s="30">
        <f t="shared" ca="1" si="17"/>
        <v>9815596.5660734121</v>
      </c>
    </row>
    <row r="157" spans="2:8">
      <c r="B157" s="2" t="str">
        <f t="shared" si="16"/>
        <v>801411 M2G-Telemetry (Pump)</v>
      </c>
      <c r="D157" s="30">
        <f t="shared" ca="1" si="17"/>
        <v>10520165.490742786</v>
      </c>
      <c r="E157" s="30">
        <f t="shared" ca="1" si="17"/>
        <v>9463297.9018240497</v>
      </c>
      <c r="F157" s="30">
        <f t="shared" ca="1" si="17"/>
        <v>8347011.8300276622</v>
      </c>
      <c r="G157" s="30">
        <f t="shared" ca="1" si="17"/>
        <v>7168996.8934528157</v>
      </c>
      <c r="H157" s="30">
        <f t="shared" ca="1" si="17"/>
        <v>5926864.3276554588</v>
      </c>
    </row>
    <row r="158" spans="2:8">
      <c r="B158" s="2" t="str">
        <f t="shared" si="16"/>
        <v>801411 M2G-Pump Sets (Pump)</v>
      </c>
      <c r="D158" s="30">
        <f t="shared" ca="1" si="17"/>
        <v>55692671.71830374</v>
      </c>
      <c r="E158" s="30">
        <f t="shared" ca="1" si="17"/>
        <v>54621228.274695933</v>
      </c>
      <c r="F158" s="30">
        <f t="shared" ca="1" si="17"/>
        <v>53461404.739083797</v>
      </c>
      <c r="G158" s="30">
        <f t="shared" ca="1" si="17"/>
        <v>52209451.759019367</v>
      </c>
      <c r="H158" s="30">
        <f t="shared" ca="1" si="17"/>
        <v>50861487.751989797</v>
      </c>
    </row>
    <row r="159" spans="2:8">
      <c r="D159" s="30"/>
      <c r="E159" s="30"/>
      <c r="F159" s="30"/>
      <c r="G159" s="30"/>
      <c r="H159" s="30"/>
    </row>
    <row r="160" spans="2:8">
      <c r="B160" s="2" t="s">
        <v>49</v>
      </c>
      <c r="D160" s="48">
        <f ca="1">SUM(D139:D159)</f>
        <v>1379892156.8105283</v>
      </c>
      <c r="E160" s="48">
        <f ca="1">SUM(E139:E159)</f>
        <v>1389630974.4102578</v>
      </c>
      <c r="F160" s="48">
        <f ca="1">SUM(F139:F159)</f>
        <v>1398994300.2919662</v>
      </c>
      <c r="G160" s="48">
        <f ca="1">SUM(G139:G159)</f>
        <v>1407957273.1087544</v>
      </c>
      <c r="H160" s="48">
        <f ca="1">SUM(H139:H159)</f>
        <v>1416494023.1286991</v>
      </c>
    </row>
    <row r="161" spans="4:8">
      <c r="D161" s="30"/>
      <c r="E161" s="30"/>
      <c r="F161" s="30"/>
      <c r="G161" s="30"/>
      <c r="H161" s="30"/>
    </row>
    <row r="162" spans="4:8">
      <c r="D162" s="30"/>
      <c r="E162" s="30"/>
      <c r="F162" s="30"/>
      <c r="G162" s="30"/>
      <c r="H162" s="30"/>
    </row>
    <row r="163" spans="4:8">
      <c r="D163" s="30"/>
      <c r="E163" s="30"/>
      <c r="F163" s="30"/>
      <c r="G163" s="30"/>
      <c r="H163" s="30"/>
    </row>
    <row r="164" spans="4:8">
      <c r="D164" s="30"/>
      <c r="E164" s="30"/>
      <c r="F164" s="30"/>
      <c r="G164" s="30"/>
      <c r="H164" s="30"/>
    </row>
    <row r="165" spans="4:8">
      <c r="D165" s="30"/>
      <c r="E165" s="30"/>
      <c r="F165" s="30"/>
      <c r="G165" s="30"/>
      <c r="H165" s="30"/>
    </row>
    <row r="166" spans="4:8">
      <c r="D166" s="30"/>
      <c r="E166" s="30"/>
      <c r="F166" s="30"/>
      <c r="G166" s="30"/>
      <c r="H166" s="30"/>
    </row>
    <row r="167" spans="4:8">
      <c r="D167" s="30"/>
      <c r="E167" s="30"/>
      <c r="F167" s="30"/>
      <c r="G167" s="30"/>
      <c r="H167" s="30"/>
    </row>
    <row r="168" spans="4:8">
      <c r="D168" s="30"/>
      <c r="E168" s="30"/>
      <c r="F168" s="30"/>
      <c r="G168" s="30"/>
      <c r="H168" s="30"/>
    </row>
    <row r="169" spans="4:8">
      <c r="D169" s="30"/>
      <c r="E169" s="30"/>
      <c r="F169" s="30"/>
      <c r="G169" s="30"/>
      <c r="H169" s="30"/>
    </row>
    <row r="170" spans="4:8">
      <c r="D170" s="30"/>
      <c r="E170" s="30"/>
      <c r="F170" s="30"/>
      <c r="G170" s="30"/>
      <c r="H170" s="30"/>
    </row>
    <row r="171" spans="4:8">
      <c r="D171" s="30"/>
      <c r="E171" s="30"/>
      <c r="F171" s="30"/>
      <c r="G171" s="30"/>
      <c r="H171" s="30"/>
    </row>
    <row r="172" spans="4:8">
      <c r="D172" s="30"/>
      <c r="E172" s="30"/>
      <c r="F172" s="30"/>
      <c r="G172" s="30"/>
      <c r="H172" s="30"/>
    </row>
    <row r="173" spans="4:8">
      <c r="D173" s="30"/>
      <c r="E173" s="30"/>
      <c r="F173" s="30"/>
      <c r="G173" s="30"/>
      <c r="H173" s="30"/>
    </row>
    <row r="174" spans="4:8">
      <c r="D174" s="30"/>
      <c r="E174" s="30"/>
      <c r="F174" s="30"/>
      <c r="G174" s="30"/>
      <c r="H174" s="30"/>
    </row>
    <row r="175" spans="4:8">
      <c r="D175" s="30"/>
      <c r="E175" s="30"/>
      <c r="F175" s="30"/>
      <c r="G175" s="30"/>
      <c r="H175" s="30"/>
    </row>
    <row r="176" spans="4:8">
      <c r="D176" s="30"/>
      <c r="E176" s="30"/>
      <c r="F176" s="30"/>
      <c r="G176" s="30"/>
      <c r="H176" s="30"/>
    </row>
    <row r="177" spans="4:8">
      <c r="D177" s="30"/>
      <c r="E177" s="30"/>
      <c r="F177" s="30"/>
      <c r="G177" s="30"/>
      <c r="H177" s="30"/>
    </row>
    <row r="178" spans="4:8">
      <c r="D178" s="30"/>
      <c r="E178" s="30"/>
      <c r="F178" s="30"/>
      <c r="G178" s="30"/>
      <c r="H178" s="30"/>
    </row>
    <row r="179" spans="4:8">
      <c r="D179" s="30"/>
      <c r="E179" s="30"/>
      <c r="F179" s="30"/>
      <c r="G179" s="30"/>
      <c r="H179" s="30"/>
    </row>
    <row r="180" spans="4:8">
      <c r="D180" s="30"/>
      <c r="E180" s="30"/>
      <c r="F180" s="30"/>
      <c r="G180" s="30"/>
      <c r="H180" s="30"/>
    </row>
    <row r="181" spans="4:8">
      <c r="D181" s="30"/>
      <c r="E181" s="30"/>
      <c r="F181" s="30"/>
      <c r="G181" s="30"/>
      <c r="H181" s="30"/>
    </row>
    <row r="182" spans="4:8">
      <c r="D182" s="30"/>
      <c r="E182" s="30"/>
      <c r="F182" s="30"/>
      <c r="G182" s="30"/>
      <c r="H182" s="30"/>
    </row>
    <row r="183" spans="4:8">
      <c r="D183" s="30"/>
      <c r="E183" s="30"/>
      <c r="F183" s="30"/>
      <c r="G183" s="30"/>
      <c r="H183" s="30"/>
    </row>
    <row r="184" spans="4:8">
      <c r="D184" s="30"/>
      <c r="E184" s="30"/>
      <c r="F184" s="30"/>
      <c r="G184" s="30"/>
      <c r="H184" s="30"/>
    </row>
    <row r="185" spans="4:8">
      <c r="D185" s="30"/>
      <c r="E185" s="30"/>
      <c r="F185" s="30"/>
      <c r="G185" s="30"/>
      <c r="H185" s="30"/>
    </row>
    <row r="186" spans="4:8">
      <c r="D186" s="30"/>
      <c r="E186" s="30"/>
      <c r="F186" s="30"/>
      <c r="G186" s="30"/>
      <c r="H186" s="30"/>
    </row>
    <row r="187" spans="4:8">
      <c r="D187" s="30"/>
      <c r="E187" s="30"/>
      <c r="F187" s="30"/>
      <c r="G187" s="30"/>
      <c r="H187" s="30"/>
    </row>
    <row r="188" spans="4:8">
      <c r="D188" s="30"/>
      <c r="E188" s="30"/>
      <c r="F188" s="30"/>
      <c r="G188" s="30"/>
      <c r="H188" s="30"/>
    </row>
    <row r="189" spans="4:8">
      <c r="D189" s="30"/>
      <c r="E189" s="30"/>
      <c r="F189" s="30"/>
      <c r="G189" s="30"/>
      <c r="H189" s="30"/>
    </row>
    <row r="190" spans="4:8">
      <c r="D190" s="30"/>
      <c r="E190" s="30"/>
      <c r="F190" s="30"/>
      <c r="G190" s="30"/>
      <c r="H190" s="30"/>
    </row>
    <row r="191" spans="4:8">
      <c r="D191" s="30"/>
      <c r="E191" s="30"/>
      <c r="F191" s="30"/>
      <c r="G191" s="30"/>
      <c r="H191" s="30"/>
    </row>
    <row r="192" spans="4:8">
      <c r="D192" s="30"/>
      <c r="E192" s="30"/>
      <c r="F192" s="30"/>
      <c r="G192" s="30"/>
      <c r="H192" s="30"/>
    </row>
    <row r="193" spans="4:8">
      <c r="D193" s="30"/>
      <c r="E193" s="30"/>
      <c r="F193" s="30"/>
      <c r="G193" s="30"/>
      <c r="H193" s="30"/>
    </row>
    <row r="194" spans="4:8">
      <c r="D194" s="30"/>
      <c r="E194" s="30"/>
      <c r="F194" s="30"/>
      <c r="G194" s="30"/>
      <c r="H194" s="30"/>
    </row>
    <row r="195" spans="4:8">
      <c r="D195" s="30"/>
      <c r="E195" s="30"/>
      <c r="F195" s="30"/>
      <c r="G195" s="30"/>
      <c r="H195" s="30"/>
    </row>
    <row r="196" spans="4:8">
      <c r="D196" s="30"/>
      <c r="E196" s="30"/>
      <c r="F196" s="30"/>
      <c r="G196" s="30"/>
      <c r="H196" s="30"/>
    </row>
    <row r="197" spans="4:8">
      <c r="D197" s="30"/>
      <c r="E197" s="30"/>
      <c r="F197" s="30"/>
      <c r="G197" s="30"/>
      <c r="H197" s="30"/>
    </row>
    <row r="198" spans="4:8">
      <c r="D198" s="30"/>
      <c r="E198" s="30"/>
      <c r="F198" s="30"/>
      <c r="G198" s="30"/>
      <c r="H198" s="30"/>
    </row>
    <row r="199" spans="4:8">
      <c r="D199" s="30"/>
      <c r="E199" s="30"/>
      <c r="F199" s="30"/>
      <c r="G199" s="30"/>
      <c r="H199" s="30"/>
    </row>
    <row r="200" spans="4:8">
      <c r="D200" s="30"/>
      <c r="E200" s="30"/>
      <c r="F200" s="30"/>
      <c r="G200" s="30"/>
      <c r="H200" s="30"/>
    </row>
    <row r="201" spans="4:8">
      <c r="D201" s="30"/>
      <c r="E201" s="30"/>
      <c r="F201" s="30"/>
      <c r="G201" s="30"/>
      <c r="H201" s="30"/>
    </row>
    <row r="202" spans="4:8">
      <c r="D202" s="30"/>
      <c r="E202" s="30"/>
      <c r="F202" s="30"/>
      <c r="G202" s="30"/>
      <c r="H202" s="30"/>
    </row>
    <row r="203" spans="4:8">
      <c r="D203" s="30"/>
      <c r="E203" s="30"/>
      <c r="F203" s="30"/>
      <c r="G203" s="30"/>
      <c r="H203" s="30"/>
    </row>
    <row r="204" spans="4:8">
      <c r="D204" s="30"/>
      <c r="E204" s="30"/>
      <c r="F204" s="30"/>
      <c r="G204" s="30"/>
      <c r="H204" s="30"/>
    </row>
    <row r="205" spans="4:8">
      <c r="D205" s="30"/>
      <c r="E205" s="30"/>
      <c r="F205" s="30"/>
      <c r="G205" s="30"/>
      <c r="H205" s="30"/>
    </row>
    <row r="206" spans="4:8">
      <c r="D206" s="30"/>
      <c r="E206" s="30"/>
      <c r="F206" s="30"/>
      <c r="G206" s="30"/>
      <c r="H206" s="30"/>
    </row>
    <row r="207" spans="4:8">
      <c r="D207" s="30"/>
      <c r="E207" s="30"/>
      <c r="F207" s="30"/>
      <c r="G207" s="30"/>
      <c r="H207" s="30"/>
    </row>
    <row r="208" spans="4:8">
      <c r="D208" s="30"/>
      <c r="E208" s="30"/>
      <c r="F208" s="30"/>
      <c r="G208" s="30"/>
      <c r="H208" s="30"/>
    </row>
    <row r="209" spans="4:8">
      <c r="D209" s="30"/>
      <c r="E209" s="30"/>
      <c r="F209" s="30"/>
      <c r="G209" s="30"/>
      <c r="H209" s="30"/>
    </row>
    <row r="210" spans="4:8">
      <c r="D210" s="30"/>
      <c r="E210" s="30"/>
      <c r="F210" s="30"/>
      <c r="G210" s="30"/>
      <c r="H210" s="30"/>
    </row>
    <row r="211" spans="4:8">
      <c r="D211" s="30"/>
      <c r="E211" s="30"/>
      <c r="F211" s="30"/>
      <c r="G211" s="30"/>
      <c r="H211" s="30"/>
    </row>
    <row r="212" spans="4:8">
      <c r="D212" s="30"/>
      <c r="E212" s="30"/>
      <c r="F212" s="30"/>
      <c r="G212" s="30"/>
      <c r="H212" s="30"/>
    </row>
    <row r="213" spans="4:8">
      <c r="D213" s="30"/>
      <c r="E213" s="30"/>
      <c r="F213" s="30"/>
      <c r="G213" s="30"/>
      <c r="H213" s="30"/>
    </row>
    <row r="214" spans="4:8">
      <c r="D214" s="30"/>
      <c r="E214" s="30"/>
      <c r="F214" s="30"/>
      <c r="G214" s="30"/>
      <c r="H214" s="30"/>
    </row>
    <row r="215" spans="4:8">
      <c r="D215" s="30"/>
      <c r="E215" s="30"/>
      <c r="F215" s="30"/>
      <c r="G215" s="30"/>
      <c r="H215" s="30"/>
    </row>
    <row r="216" spans="4:8">
      <c r="D216" s="30"/>
      <c r="E216" s="30"/>
      <c r="F216" s="30"/>
      <c r="G216" s="30"/>
      <c r="H216" s="30"/>
    </row>
    <row r="217" spans="4:8">
      <c r="D217" s="30"/>
      <c r="E217" s="30"/>
      <c r="F217" s="30"/>
      <c r="G217" s="30"/>
      <c r="H217" s="30"/>
    </row>
    <row r="218" spans="4:8">
      <c r="D218" s="30"/>
      <c r="E218" s="30"/>
      <c r="F218" s="30"/>
      <c r="G218" s="30"/>
      <c r="H218" s="30"/>
    </row>
    <row r="219" spans="4:8">
      <c r="D219" s="30"/>
      <c r="E219" s="30"/>
      <c r="F219" s="30"/>
      <c r="G219" s="30"/>
      <c r="H219" s="30"/>
    </row>
    <row r="220" spans="4:8">
      <c r="D220" s="30"/>
      <c r="E220" s="30"/>
      <c r="F220" s="30"/>
      <c r="G220" s="30"/>
      <c r="H220" s="30"/>
    </row>
    <row r="221" spans="4:8">
      <c r="D221" s="30"/>
      <c r="E221" s="30"/>
      <c r="F221" s="30"/>
      <c r="G221" s="30"/>
      <c r="H221" s="30"/>
    </row>
    <row r="222" spans="4:8">
      <c r="D222" s="30"/>
      <c r="E222" s="30"/>
      <c r="F222" s="30"/>
      <c r="G222" s="30"/>
      <c r="H222" s="30"/>
    </row>
    <row r="223" spans="4:8">
      <c r="D223" s="30"/>
      <c r="E223" s="30"/>
      <c r="F223" s="30"/>
      <c r="G223" s="30"/>
      <c r="H223" s="30"/>
    </row>
    <row r="224" spans="4:8">
      <c r="D224" s="30"/>
      <c r="E224" s="30"/>
      <c r="F224" s="30"/>
      <c r="G224" s="30"/>
      <c r="H224" s="30"/>
    </row>
    <row r="225" spans="4:8">
      <c r="D225" s="30"/>
      <c r="E225" s="30"/>
      <c r="F225" s="30"/>
      <c r="G225" s="30"/>
      <c r="H225" s="30"/>
    </row>
    <row r="226" spans="4:8">
      <c r="D226" s="30"/>
      <c r="E226" s="30"/>
      <c r="F226" s="30"/>
      <c r="G226" s="30"/>
      <c r="H226" s="30"/>
    </row>
    <row r="227" spans="4:8">
      <c r="D227" s="30"/>
      <c r="E227" s="30"/>
      <c r="F227" s="30"/>
      <c r="G227" s="30"/>
      <c r="H227" s="30"/>
    </row>
    <row r="228" spans="4:8">
      <c r="D228" s="30"/>
      <c r="E228" s="30"/>
      <c r="F228" s="30"/>
      <c r="G228" s="30"/>
      <c r="H228" s="30"/>
    </row>
    <row r="229" spans="4:8">
      <c r="D229" s="30"/>
      <c r="E229" s="30"/>
      <c r="F229" s="30"/>
      <c r="G229" s="30"/>
      <c r="H229" s="30"/>
    </row>
    <row r="230" spans="4:8">
      <c r="D230" s="30"/>
      <c r="E230" s="30"/>
      <c r="F230" s="30"/>
      <c r="G230" s="30"/>
      <c r="H230" s="30"/>
    </row>
    <row r="231" spans="4:8">
      <c r="D231" s="30"/>
      <c r="E231" s="30"/>
      <c r="F231" s="30"/>
      <c r="G231" s="30"/>
      <c r="H231" s="30"/>
    </row>
    <row r="232" spans="4:8">
      <c r="D232" s="30"/>
      <c r="E232" s="30"/>
      <c r="F232" s="30"/>
      <c r="G232" s="30"/>
      <c r="H232" s="30"/>
    </row>
    <row r="233" spans="4:8">
      <c r="D233" s="30"/>
      <c r="E233" s="30"/>
      <c r="F233" s="30"/>
      <c r="G233" s="30"/>
      <c r="H233" s="30"/>
    </row>
    <row r="234" spans="4:8">
      <c r="D234" s="30"/>
      <c r="E234" s="30"/>
      <c r="F234" s="30"/>
      <c r="G234" s="30"/>
      <c r="H234" s="30"/>
    </row>
    <row r="235" spans="4:8">
      <c r="D235" s="30"/>
      <c r="E235" s="30"/>
      <c r="F235" s="30"/>
      <c r="G235" s="30"/>
      <c r="H235" s="30"/>
    </row>
    <row r="236" spans="4:8">
      <c r="D236" s="30"/>
      <c r="E236" s="30"/>
      <c r="F236" s="30"/>
      <c r="G236" s="30"/>
      <c r="H236" s="30"/>
    </row>
    <row r="237" spans="4:8">
      <c r="D237" s="30"/>
      <c r="E237" s="30"/>
      <c r="F237" s="30"/>
      <c r="G237" s="30"/>
      <c r="H237" s="30"/>
    </row>
    <row r="238" spans="4:8">
      <c r="D238" s="30"/>
      <c r="E238" s="30"/>
      <c r="F238" s="30"/>
      <c r="G238" s="30"/>
      <c r="H238" s="30"/>
    </row>
    <row r="239" spans="4:8">
      <c r="D239" s="30"/>
      <c r="E239" s="30"/>
      <c r="F239" s="30"/>
      <c r="G239" s="30"/>
      <c r="H239" s="30"/>
    </row>
    <row r="240" spans="4:8">
      <c r="D240" s="30"/>
      <c r="E240" s="30"/>
      <c r="F240" s="30"/>
      <c r="G240" s="30"/>
      <c r="H240" s="30"/>
    </row>
    <row r="241" spans="4:8">
      <c r="D241" s="30"/>
      <c r="E241" s="30"/>
      <c r="F241" s="30"/>
      <c r="G241" s="30"/>
      <c r="H241" s="30"/>
    </row>
    <row r="242" spans="4:8">
      <c r="D242" s="30"/>
      <c r="E242" s="30"/>
      <c r="F242" s="30"/>
      <c r="G242" s="30"/>
      <c r="H242" s="30"/>
    </row>
    <row r="243" spans="4:8">
      <c r="D243" s="30"/>
      <c r="E243" s="30"/>
      <c r="F243" s="30"/>
      <c r="G243" s="30"/>
      <c r="H243" s="30"/>
    </row>
    <row r="244" spans="4:8">
      <c r="D244" s="30"/>
      <c r="E244" s="30"/>
      <c r="F244" s="30"/>
      <c r="G244" s="30"/>
      <c r="H244" s="30"/>
    </row>
    <row r="245" spans="4:8">
      <c r="D245" s="30"/>
      <c r="E245" s="30"/>
      <c r="F245" s="30"/>
      <c r="G245" s="30"/>
      <c r="H245" s="30"/>
    </row>
    <row r="246" spans="4:8">
      <c r="D246" s="30"/>
      <c r="E246" s="30"/>
      <c r="F246" s="30"/>
      <c r="G246" s="30"/>
      <c r="H246" s="30"/>
    </row>
    <row r="247" spans="4:8">
      <c r="D247" s="30"/>
      <c r="E247" s="30"/>
      <c r="F247" s="30"/>
      <c r="G247" s="30"/>
      <c r="H247" s="30"/>
    </row>
    <row r="248" spans="4:8">
      <c r="D248" s="30"/>
      <c r="E248" s="30"/>
      <c r="F248" s="30"/>
      <c r="G248" s="30"/>
      <c r="H248" s="30"/>
    </row>
    <row r="249" spans="4:8">
      <c r="D249" s="30"/>
      <c r="E249" s="30"/>
      <c r="F249" s="30"/>
      <c r="G249" s="30"/>
      <c r="H249" s="30"/>
    </row>
  </sheetData>
  <pageMargins left="0" right="0" top="0" bottom="0" header="0" footer="0"/>
  <pageSetup paperSize="9" scale="75"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A0BD7C5A-3DCF-4F4D-8F79-6B332702ED00}">
            <xm:f>'2. Notes and Assumptions'!$D$92="ERROR"</xm:f>
            <x14:dxf>
              <font>
                <color theme="0"/>
              </font>
              <fill>
                <patternFill patternType="solid">
                  <fgColor indexed="64"/>
                  <bgColor rgb="FFFF0000"/>
                </patternFill>
              </fill>
            </x14:dxf>
          </x14:cfRule>
          <x14:cfRule type="expression" priority="2" id="{2A68C00D-ECDF-4243-9693-0218BCBC06C4}">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sheetPr codeName="Sheet9"/>
  <dimension ref="A1:H1320"/>
  <sheetViews>
    <sheetView zoomScaleNormal="100" workbookViewId="0">
      <pane ySplit="4" topLeftCell="A5" activePane="bottomLeft" state="frozen"/>
      <selection activeCell="A58" sqref="A58"/>
      <selection pane="bottomLeft" activeCell="B28" sqref="B28"/>
    </sheetView>
  </sheetViews>
  <sheetFormatPr defaultColWidth="10.6640625" defaultRowHeight="15"/>
  <cols>
    <col min="1" max="1" width="31" style="35" customWidth="1"/>
    <col min="2" max="2" width="41.6640625" style="2" customWidth="1"/>
    <col min="3" max="3" width="9.109375" style="2" customWidth="1"/>
    <col min="4" max="4" width="15.33203125" style="2" customWidth="1"/>
    <col min="5" max="8" width="15.88671875" style="2" customWidth="1"/>
    <col min="9" max="16384" width="10.6640625" style="2"/>
  </cols>
  <sheetData>
    <row r="1" spans="1:8" s="6" customFormat="1" ht="18.75" customHeight="1">
      <c r="A1" s="92" t="s">
        <v>115</v>
      </c>
      <c r="B1" s="92"/>
      <c r="C1" s="92"/>
      <c r="D1" s="92"/>
      <c r="E1" s="92"/>
      <c r="F1" s="92"/>
      <c r="G1" s="92"/>
    </row>
    <row r="2" spans="1:8" ht="18" customHeight="1">
      <c r="A2" s="3" t="str">
        <f ca="1">MID(CELL("filename",A1),FIND("]",CELL("filename",A1))+1,LEN(CELL("filename",A1))-FIND("]",CELL("filename",A1)))</f>
        <v>13. Water - Capex RAB</v>
      </c>
      <c r="B2" s="3"/>
      <c r="C2" s="3"/>
      <c r="D2" s="3"/>
      <c r="E2" s="3"/>
      <c r="F2" s="3"/>
      <c r="G2" s="3"/>
    </row>
    <row r="3" spans="1:8" s="6" customFormat="1">
      <c r="A3" s="35"/>
      <c r="B3" s="63"/>
      <c r="C3" s="16" t="s">
        <v>0</v>
      </c>
      <c r="D3" s="17">
        <v>1</v>
      </c>
      <c r="E3" s="17">
        <v>2</v>
      </c>
      <c r="F3" s="17">
        <v>3</v>
      </c>
      <c r="G3" s="17">
        <v>4</v>
      </c>
      <c r="H3" s="17">
        <v>5</v>
      </c>
    </row>
    <row r="4" spans="1:8" s="6" customFormat="1">
      <c r="A4" s="35"/>
      <c r="B4" s="65"/>
      <c r="C4" s="18" t="s">
        <v>1</v>
      </c>
      <c r="D4" s="19" t="s">
        <v>10</v>
      </c>
      <c r="E4" s="19" t="s">
        <v>11</v>
      </c>
      <c r="F4" s="19" t="s">
        <v>2</v>
      </c>
      <c r="G4" s="19" t="s">
        <v>3</v>
      </c>
      <c r="H4" s="19" t="s">
        <v>4</v>
      </c>
    </row>
    <row r="5" spans="1:8" ht="15.75">
      <c r="B5" s="10" t="s">
        <v>19</v>
      </c>
    </row>
    <row r="6" spans="1:8">
      <c r="B6" s="2" t="s">
        <v>20</v>
      </c>
      <c r="D6" s="67">
        <f ca="1">'3. General Model Inputs'!E8</f>
        <v>2.5000000000000001E-2</v>
      </c>
      <c r="E6" s="67">
        <f ca="1">'3. General Model Inputs'!F8</f>
        <v>2.5000000000000001E-2</v>
      </c>
      <c r="F6" s="67">
        <f ca="1">'3. General Model Inputs'!G8</f>
        <v>2.5000000000000001E-2</v>
      </c>
      <c r="G6" s="67">
        <f ca="1">'3. General Model Inputs'!H8</f>
        <v>2.5000000000000001E-2</v>
      </c>
      <c r="H6" s="67">
        <f ca="1">'3. General Model Inputs'!I8</f>
        <v>2.5000000000000001E-2</v>
      </c>
    </row>
    <row r="8" spans="1:8" ht="15.75">
      <c r="B8" s="10" t="s">
        <v>119</v>
      </c>
    </row>
    <row r="9" spans="1:8">
      <c r="B9" s="6" t="s">
        <v>117</v>
      </c>
      <c r="D9" s="46">
        <f>D390</f>
        <v>0</v>
      </c>
      <c r="E9" s="46">
        <f t="shared" ref="E9:H9" ca="1" si="0">E390</f>
        <v>34605094.976925425</v>
      </c>
      <c r="F9" s="46">
        <f t="shared" ca="1" si="0"/>
        <v>61437991.118655689</v>
      </c>
      <c r="G9" s="46">
        <f t="shared" ca="1" si="0"/>
        <v>85648090.961847946</v>
      </c>
      <c r="H9" s="46">
        <f t="shared" ca="1" si="0"/>
        <v>114255857.02566336</v>
      </c>
    </row>
    <row r="10" spans="1:8">
      <c r="B10" s="6" t="s">
        <v>27</v>
      </c>
      <c r="D10" s="46">
        <f>D576</f>
        <v>0</v>
      </c>
      <c r="E10" s="46">
        <f t="shared" ref="E10:H10" si="1">E576</f>
        <v>0</v>
      </c>
      <c r="F10" s="46">
        <f t="shared" si="1"/>
        <v>0</v>
      </c>
      <c r="G10" s="46">
        <f t="shared" si="1"/>
        <v>0</v>
      </c>
      <c r="H10" s="46">
        <f t="shared" si="1"/>
        <v>0</v>
      </c>
    </row>
    <row r="11" spans="1:8">
      <c r="B11" s="6" t="s">
        <v>18</v>
      </c>
      <c r="D11" s="46">
        <f>D762</f>
        <v>34643404.405000024</v>
      </c>
      <c r="E11" s="46">
        <f t="shared" ref="E11:H11" si="2">E762</f>
        <v>26993825.123333331</v>
      </c>
      <c r="F11" s="46">
        <f t="shared" si="2"/>
        <v>24440593.263872232</v>
      </c>
      <c r="G11" s="46">
        <f t="shared" si="2"/>
        <v>28868116.86681056</v>
      </c>
      <c r="H11" s="46">
        <f t="shared" si="2"/>
        <v>42188866.395676591</v>
      </c>
    </row>
    <row r="12" spans="1:8">
      <c r="B12" s="6" t="s">
        <v>12</v>
      </c>
      <c r="D12" s="46">
        <f ca="1">D948</f>
        <v>433042.55506249989</v>
      </c>
      <c r="E12" s="46">
        <f t="shared" ref="E12:H12" ca="1" si="3">E948</f>
        <v>1202550.188464802</v>
      </c>
      <c r="F12" s="46">
        <f t="shared" ca="1" si="3"/>
        <v>1841457.1937647944</v>
      </c>
      <c r="G12" s="46">
        <f t="shared" ca="1" si="3"/>
        <v>2502053.7348813307</v>
      </c>
      <c r="H12" s="46">
        <f t="shared" ca="1" si="3"/>
        <v>3383757.2555875392</v>
      </c>
    </row>
    <row r="13" spans="1:8">
      <c r="B13" s="6" t="s">
        <v>13</v>
      </c>
      <c r="D13" s="46">
        <f ca="1">D1134</f>
        <v>-471351.98313708592</v>
      </c>
      <c r="E13" s="46">
        <f t="shared" ref="E13:H13" ca="1" si="4">E1134</f>
        <v>-1363479.170067881</v>
      </c>
      <c r="F13" s="46">
        <f t="shared" ca="1" si="4"/>
        <v>-2071950.6144446919</v>
      </c>
      <c r="G13" s="46">
        <f t="shared" ca="1" si="4"/>
        <v>-2762404.5378765455</v>
      </c>
      <c r="H13" s="46">
        <f t="shared" ca="1" si="4"/>
        <v>-3634051.9382642927</v>
      </c>
    </row>
    <row r="14" spans="1:8">
      <c r="B14" s="6" t="s">
        <v>118</v>
      </c>
      <c r="D14" s="30">
        <f ca="1">D1320</f>
        <v>34605094.976925425</v>
      </c>
      <c r="E14" s="30">
        <f t="shared" ref="E14:H14" ca="1" si="5">E1320</f>
        <v>61437991.118655689</v>
      </c>
      <c r="F14" s="30">
        <f t="shared" ca="1" si="5"/>
        <v>85648090.961847946</v>
      </c>
      <c r="G14" s="30">
        <f t="shared" ca="1" si="5"/>
        <v>114255857.02566336</v>
      </c>
      <c r="H14" s="30">
        <f t="shared" ca="1" si="5"/>
        <v>156194428.7386632</v>
      </c>
    </row>
    <row r="15" spans="1:8">
      <c r="D15" s="30"/>
      <c r="E15" s="30"/>
      <c r="F15" s="30"/>
      <c r="G15" s="30"/>
      <c r="H15" s="30"/>
    </row>
    <row r="16" spans="1:8" ht="15.75">
      <c r="B16" s="10" t="s">
        <v>122</v>
      </c>
      <c r="D16" s="30">
        <f>D9+0.5*D11</f>
        <v>17321702.202500012</v>
      </c>
      <c r="E16" s="30">
        <f t="shared" ref="E16:H16" ca="1" si="6">E9+0.5*E11</f>
        <v>48102007.538592093</v>
      </c>
      <c r="F16" s="30">
        <f t="shared" ca="1" si="6"/>
        <v>73658287.7505918</v>
      </c>
      <c r="G16" s="30">
        <f t="shared" ca="1" si="6"/>
        <v>100082149.39525323</v>
      </c>
      <c r="H16" s="30">
        <f t="shared" ca="1" si="6"/>
        <v>135350290.22350165</v>
      </c>
    </row>
    <row r="17" spans="2:8">
      <c r="D17" s="30"/>
      <c r="E17" s="30"/>
      <c r="F17" s="30"/>
      <c r="G17" s="30"/>
      <c r="H17" s="30"/>
    </row>
    <row r="18" spans="2:8">
      <c r="B18" s="69" t="s">
        <v>133</v>
      </c>
      <c r="C18" s="12"/>
      <c r="D18" s="13">
        <f ca="1">SUM(D9:D13)-D14</f>
        <v>0</v>
      </c>
      <c r="E18" s="13">
        <f ca="1">SUM(E9:E13)-E14</f>
        <v>0</v>
      </c>
      <c r="F18" s="13">
        <f ca="1">SUM(F9:F13)-F14</f>
        <v>0</v>
      </c>
      <c r="G18" s="13">
        <f ca="1">SUM(G9:G13)-G14</f>
        <v>0</v>
      </c>
      <c r="H18" s="13">
        <f ca="1">SUM(H9:H13)-H14</f>
        <v>0</v>
      </c>
    </row>
    <row r="19" spans="2:8">
      <c r="B19" s="12" t="s">
        <v>135</v>
      </c>
      <c r="C19" s="12"/>
      <c r="D19" s="12"/>
      <c r="E19" s="12"/>
      <c r="F19" s="12"/>
      <c r="G19" s="12"/>
      <c r="H19" s="13">
        <f>SUM(D11:H11)-SUM('11. Water - Capex Input'!J5:J187)</f>
        <v>0</v>
      </c>
    </row>
    <row r="20" spans="2:8" ht="15.75">
      <c r="B20" s="10" t="s">
        <v>56</v>
      </c>
    </row>
    <row r="21" spans="2:8" ht="15.75">
      <c r="B21" s="10" t="s">
        <v>48</v>
      </c>
    </row>
    <row r="22" spans="2:8">
      <c r="B22" s="152">
        <f>'11. Water - Capex Input'!F5</f>
        <v>0</v>
      </c>
      <c r="D22" s="30">
        <f>IF('11. Water - Capex Input'!$I5=D$3,'11. Water - Capex Input'!$G5,IF(C22&gt;1,C22-1,0))</f>
        <v>60</v>
      </c>
      <c r="E22" s="30">
        <f>IF('11. Water - Capex Input'!$I5=E$3,'11. Water - Capex Input'!$G5,IF(D22&gt;1,D22-1,0))</f>
        <v>59</v>
      </c>
      <c r="F22" s="30">
        <f>IF('11. Water - Capex Input'!$I5=F$3,'11. Water - Capex Input'!$G5,IF(E22&gt;1,E22-1,0))</f>
        <v>58</v>
      </c>
      <c r="G22" s="30">
        <f>IF('11. Water - Capex Input'!$I5=G$3,'11. Water - Capex Input'!$G5,IF(F22&gt;1,F22-1,0))</f>
        <v>57</v>
      </c>
      <c r="H22" s="30">
        <f>IF('11. Water - Capex Input'!$I5=H$3,'11. Water - Capex Input'!$G5,IF(G22&gt;1,G22-1,0))</f>
        <v>56</v>
      </c>
    </row>
    <row r="23" spans="2:8">
      <c r="B23" s="152">
        <f>'11. Water - Capex Input'!F6</f>
        <v>0</v>
      </c>
      <c r="D23" s="30">
        <f>IF('11. Water - Capex Input'!$I6=D$3,'11. Water - Capex Input'!$G6,IF(C23&gt;1,C23-1,0))</f>
        <v>0</v>
      </c>
      <c r="E23" s="30">
        <f>IF('11. Water - Capex Input'!$I6=E$3,'11. Water - Capex Input'!$G6,IF(D23&gt;1,D23-1,0))</f>
        <v>60</v>
      </c>
      <c r="F23" s="30">
        <f>IF('11. Water - Capex Input'!$I6=F$3,'11. Water - Capex Input'!$G6,IF(E23&gt;1,E23-1,0))</f>
        <v>59</v>
      </c>
      <c r="G23" s="30">
        <f>IF('11. Water - Capex Input'!$I6=G$3,'11. Water - Capex Input'!$G6,IF(F23&gt;1,F23-1,0))</f>
        <v>58</v>
      </c>
      <c r="H23" s="30">
        <f>IF('11. Water - Capex Input'!$I6=H$3,'11. Water - Capex Input'!$G6,IF(G23&gt;1,G23-1,0))</f>
        <v>57</v>
      </c>
    </row>
    <row r="24" spans="2:8">
      <c r="B24" s="152">
        <f>'11. Water - Capex Input'!F7</f>
        <v>0</v>
      </c>
      <c r="D24" s="30">
        <f>IF('11. Water - Capex Input'!$I7=D$3,'11. Water - Capex Input'!$G7,IF(C24&gt;1,C24-1,0))</f>
        <v>0</v>
      </c>
      <c r="E24" s="30">
        <f>IF('11. Water - Capex Input'!$I7=E$3,'11. Water - Capex Input'!$G7,IF(D24&gt;1,D24-1,0))</f>
        <v>0</v>
      </c>
      <c r="F24" s="30">
        <f>IF('11. Water - Capex Input'!$I7=F$3,'11. Water - Capex Input'!$G7,IF(E24&gt;1,E24-1,0))</f>
        <v>60</v>
      </c>
      <c r="G24" s="30">
        <f>IF('11. Water - Capex Input'!$I7=G$3,'11. Water - Capex Input'!$G7,IF(F24&gt;1,F24-1,0))</f>
        <v>59</v>
      </c>
      <c r="H24" s="30">
        <f>IF('11. Water - Capex Input'!$I7=H$3,'11. Water - Capex Input'!$G7,IF(G24&gt;1,G24-1,0))</f>
        <v>58</v>
      </c>
    </row>
    <row r="25" spans="2:8">
      <c r="B25" s="152">
        <f>'11. Water - Capex Input'!F8</f>
        <v>0</v>
      </c>
      <c r="D25" s="30">
        <f>IF('11. Water - Capex Input'!$I8=D$3,'11. Water - Capex Input'!$G8,IF(C25&gt;1,C25-1,0))</f>
        <v>15</v>
      </c>
      <c r="E25" s="30">
        <f>IF('11. Water - Capex Input'!$I8=E$3,'11. Water - Capex Input'!$G8,IF(D25&gt;1,D25-1,0))</f>
        <v>14</v>
      </c>
      <c r="F25" s="30">
        <f>IF('11. Water - Capex Input'!$I8=F$3,'11. Water - Capex Input'!$G8,IF(E25&gt;1,E25-1,0))</f>
        <v>13</v>
      </c>
      <c r="G25" s="30">
        <f>IF('11. Water - Capex Input'!$I8=G$3,'11. Water - Capex Input'!$G8,IF(F25&gt;1,F25-1,0))</f>
        <v>12</v>
      </c>
      <c r="H25" s="30">
        <f>IF('11. Water - Capex Input'!$I8=H$3,'11. Water - Capex Input'!$G8,IF(G25&gt;1,G25-1,0))</f>
        <v>11</v>
      </c>
    </row>
    <row r="26" spans="2:8">
      <c r="B26" s="152">
        <f>'11. Water - Capex Input'!F9</f>
        <v>0</v>
      </c>
      <c r="D26" s="30">
        <f>IF('11. Water - Capex Input'!$I9=D$3,'11. Water - Capex Input'!$G9,IF(C26&gt;1,C26-1,0))</f>
        <v>0</v>
      </c>
      <c r="E26" s="30">
        <f>IF('11. Water - Capex Input'!$I9=E$3,'11. Water - Capex Input'!$G9,IF(D26&gt;1,D26-1,0))</f>
        <v>15</v>
      </c>
      <c r="F26" s="30">
        <f>IF('11. Water - Capex Input'!$I9=F$3,'11. Water - Capex Input'!$G9,IF(E26&gt;1,E26-1,0))</f>
        <v>14</v>
      </c>
      <c r="G26" s="30">
        <f>IF('11. Water - Capex Input'!$I9=G$3,'11. Water - Capex Input'!$G9,IF(F26&gt;1,F26-1,0))</f>
        <v>13</v>
      </c>
      <c r="H26" s="30">
        <f>IF('11. Water - Capex Input'!$I9=H$3,'11. Water - Capex Input'!$G9,IF(G26&gt;1,G26-1,0))</f>
        <v>12</v>
      </c>
    </row>
    <row r="27" spans="2:8">
      <c r="B27" s="152">
        <f>'11. Water - Capex Input'!F10</f>
        <v>0</v>
      </c>
      <c r="D27" s="30">
        <f>IF('11. Water - Capex Input'!$I10=D$3,'11. Water - Capex Input'!$G10,IF(C27&gt;1,C27-1,0))</f>
        <v>60</v>
      </c>
      <c r="E27" s="30">
        <f>IF('11. Water - Capex Input'!$I10=E$3,'11. Water - Capex Input'!$G10,IF(D27&gt;1,D27-1,0))</f>
        <v>59</v>
      </c>
      <c r="F27" s="30">
        <f>IF('11. Water - Capex Input'!$I10=F$3,'11. Water - Capex Input'!$G10,IF(E27&gt;1,E27-1,0))</f>
        <v>58</v>
      </c>
      <c r="G27" s="30">
        <f>IF('11. Water - Capex Input'!$I10=G$3,'11. Water - Capex Input'!$G10,IF(F27&gt;1,F27-1,0))</f>
        <v>57</v>
      </c>
      <c r="H27" s="30">
        <f>IF('11. Water - Capex Input'!$I10=H$3,'11. Water - Capex Input'!$G10,IF(G27&gt;1,G27-1,0))</f>
        <v>56</v>
      </c>
    </row>
    <row r="28" spans="2:8">
      <c r="B28" s="152">
        <f>'11. Water - Capex Input'!F11</f>
        <v>0</v>
      </c>
      <c r="D28" s="30">
        <f>IF('11. Water - Capex Input'!$I11=D$3,'11. Water - Capex Input'!$G11,IF(C28&gt;1,C28-1,0))</f>
        <v>0</v>
      </c>
      <c r="E28" s="30">
        <f>IF('11. Water - Capex Input'!$I11=E$3,'11. Water - Capex Input'!$G11,IF(D28&gt;1,D28-1,0))</f>
        <v>60</v>
      </c>
      <c r="F28" s="30">
        <f>IF('11. Water - Capex Input'!$I11=F$3,'11. Water - Capex Input'!$G11,IF(E28&gt;1,E28-1,0))</f>
        <v>59</v>
      </c>
      <c r="G28" s="30">
        <f>IF('11. Water - Capex Input'!$I11=G$3,'11. Water - Capex Input'!$G11,IF(F28&gt;1,F28-1,0))</f>
        <v>58</v>
      </c>
      <c r="H28" s="30">
        <f>IF('11. Water - Capex Input'!$I11=H$3,'11. Water - Capex Input'!$G11,IF(G28&gt;1,G28-1,0))</f>
        <v>57</v>
      </c>
    </row>
    <row r="29" spans="2:8">
      <c r="B29" s="152">
        <f>'11. Water - Capex Input'!F12</f>
        <v>0</v>
      </c>
      <c r="D29" s="30">
        <f>IF('11. Water - Capex Input'!$I12=D$3,'11. Water - Capex Input'!$G12,IF(C29&gt;1,C29-1,0))</f>
        <v>0</v>
      </c>
      <c r="E29" s="30">
        <f>IF('11. Water - Capex Input'!$I12=E$3,'11. Water - Capex Input'!$G12,IF(D29&gt;1,D29-1,0))</f>
        <v>0</v>
      </c>
      <c r="F29" s="30">
        <f>IF('11. Water - Capex Input'!$I12=F$3,'11. Water - Capex Input'!$G12,IF(E29&gt;1,E29-1,0))</f>
        <v>60</v>
      </c>
      <c r="G29" s="30">
        <f>IF('11. Water - Capex Input'!$I12=G$3,'11. Water - Capex Input'!$G12,IF(F29&gt;1,F29-1,0))</f>
        <v>59</v>
      </c>
      <c r="H29" s="30">
        <f>IF('11. Water - Capex Input'!$I12=H$3,'11. Water - Capex Input'!$G12,IF(G29&gt;1,G29-1,0))</f>
        <v>58</v>
      </c>
    </row>
    <row r="30" spans="2:8">
      <c r="B30" s="152">
        <f>'11. Water - Capex Input'!F13</f>
        <v>0</v>
      </c>
      <c r="D30" s="30">
        <f>IF('11. Water - Capex Input'!$I13=D$3,'11. Water - Capex Input'!$G13,IF(C30&gt;1,C30-1,0))</f>
        <v>0</v>
      </c>
      <c r="E30" s="30">
        <f>IF('11. Water - Capex Input'!$I13=E$3,'11. Water - Capex Input'!$G13,IF(D30&gt;1,D30-1,0))</f>
        <v>0</v>
      </c>
      <c r="F30" s="30">
        <f>IF('11. Water - Capex Input'!$I13=F$3,'11. Water - Capex Input'!$G13,IF(E30&gt;1,E30-1,0))</f>
        <v>60</v>
      </c>
      <c r="G30" s="30">
        <f>IF('11. Water - Capex Input'!$I13=G$3,'11. Water - Capex Input'!$G13,IF(F30&gt;1,F30-1,0))</f>
        <v>59</v>
      </c>
      <c r="H30" s="30">
        <f>IF('11. Water - Capex Input'!$I13=H$3,'11. Water - Capex Input'!$G13,IF(G30&gt;1,G30-1,0))</f>
        <v>58</v>
      </c>
    </row>
    <row r="31" spans="2:8">
      <c r="B31" s="152">
        <f>'11. Water - Capex Input'!F14</f>
        <v>0</v>
      </c>
      <c r="D31" s="30">
        <f>IF('11. Water - Capex Input'!$I14=D$3,'11. Water - Capex Input'!$G14,IF(C31&gt;1,C31-1,0))</f>
        <v>0</v>
      </c>
      <c r="E31" s="30">
        <f>IF('11. Water - Capex Input'!$I14=E$3,'11. Water - Capex Input'!$G14,IF(D31&gt;1,D31-1,0))</f>
        <v>0</v>
      </c>
      <c r="F31" s="30">
        <f>IF('11. Water - Capex Input'!$I14=F$3,'11. Water - Capex Input'!$G14,IF(E31&gt;1,E31-1,0))</f>
        <v>0</v>
      </c>
      <c r="G31" s="30">
        <f>IF('11. Water - Capex Input'!$I14=G$3,'11. Water - Capex Input'!$G14,IF(F31&gt;1,F31-1,0))</f>
        <v>60</v>
      </c>
      <c r="H31" s="30">
        <f>IF('11. Water - Capex Input'!$I14=H$3,'11. Water - Capex Input'!$G14,IF(G31&gt;1,G31-1,0))</f>
        <v>59</v>
      </c>
    </row>
    <row r="32" spans="2:8">
      <c r="B32" s="152">
        <f>'11. Water - Capex Input'!F15</f>
        <v>0</v>
      </c>
      <c r="D32" s="30">
        <f>IF('11. Water - Capex Input'!$I15=D$3,'11. Water - Capex Input'!$G15,IF(C32&gt;1,C32-1,0))</f>
        <v>0</v>
      </c>
      <c r="E32" s="30">
        <f>IF('11. Water - Capex Input'!$I15=E$3,'11. Water - Capex Input'!$G15,IF(D32&gt;1,D32-1,0))</f>
        <v>0</v>
      </c>
      <c r="F32" s="30">
        <f>IF('11. Water - Capex Input'!$I15=F$3,'11. Water - Capex Input'!$G15,IF(E32&gt;1,E32-1,0))</f>
        <v>0</v>
      </c>
      <c r="G32" s="30">
        <f>IF('11. Water - Capex Input'!$I15=G$3,'11. Water - Capex Input'!$G15,IF(F32&gt;1,F32-1,0))</f>
        <v>0</v>
      </c>
      <c r="H32" s="30">
        <f>IF('11. Water - Capex Input'!$I15=H$3,'11. Water - Capex Input'!$G15,IF(G32&gt;1,G32-1,0))</f>
        <v>60</v>
      </c>
    </row>
    <row r="33" spans="2:8">
      <c r="B33" s="152">
        <f>'11. Water - Capex Input'!F16</f>
        <v>0</v>
      </c>
      <c r="D33" s="30">
        <f>IF('11. Water - Capex Input'!$I16=D$3,'11. Water - Capex Input'!$G16,IF(C33&gt;1,C33-1,0))</f>
        <v>80</v>
      </c>
      <c r="E33" s="30">
        <f>IF('11. Water - Capex Input'!$I16=E$3,'11. Water - Capex Input'!$G16,IF(D33&gt;1,D33-1,0))</f>
        <v>79</v>
      </c>
      <c r="F33" s="30">
        <f>IF('11. Water - Capex Input'!$I16=F$3,'11. Water - Capex Input'!$G16,IF(E33&gt;1,E33-1,0))</f>
        <v>78</v>
      </c>
      <c r="G33" s="30">
        <f>IF('11. Water - Capex Input'!$I16=G$3,'11. Water - Capex Input'!$G16,IF(F33&gt;1,F33-1,0))</f>
        <v>77</v>
      </c>
      <c r="H33" s="30">
        <f>IF('11. Water - Capex Input'!$I16=H$3,'11. Water - Capex Input'!$G16,IF(G33&gt;1,G33-1,0))</f>
        <v>76</v>
      </c>
    </row>
    <row r="34" spans="2:8">
      <c r="B34" s="152">
        <f>'11. Water - Capex Input'!F17</f>
        <v>0</v>
      </c>
      <c r="D34" s="30">
        <f>IF('11. Water - Capex Input'!$I17=D$3,'11. Water - Capex Input'!$G17,IF(C34&gt;1,C34-1,0))</f>
        <v>0</v>
      </c>
      <c r="E34" s="30">
        <f>IF('11. Water - Capex Input'!$I17=E$3,'11. Water - Capex Input'!$G17,IF(D34&gt;1,D34-1,0))</f>
        <v>80</v>
      </c>
      <c r="F34" s="30">
        <f>IF('11. Water - Capex Input'!$I17=F$3,'11. Water - Capex Input'!$G17,IF(E34&gt;1,E34-1,0))</f>
        <v>79</v>
      </c>
      <c r="G34" s="30">
        <f>IF('11. Water - Capex Input'!$I17=G$3,'11. Water - Capex Input'!$G17,IF(F34&gt;1,F34-1,0))</f>
        <v>78</v>
      </c>
      <c r="H34" s="30">
        <f>IF('11. Water - Capex Input'!$I17=H$3,'11. Water - Capex Input'!$G17,IF(G34&gt;1,G34-1,0))</f>
        <v>77</v>
      </c>
    </row>
    <row r="35" spans="2:8">
      <c r="B35" s="152">
        <f>'11. Water - Capex Input'!F18</f>
        <v>0</v>
      </c>
      <c r="D35" s="30">
        <f>IF('11. Water - Capex Input'!$I18=D$3,'11. Water - Capex Input'!$G18,IF(C35&gt;1,C35-1,0))</f>
        <v>0</v>
      </c>
      <c r="E35" s="30">
        <f>IF('11. Water - Capex Input'!$I18=E$3,'11. Water - Capex Input'!$G18,IF(D35&gt;1,D35-1,0))</f>
        <v>0</v>
      </c>
      <c r="F35" s="30">
        <f>IF('11. Water - Capex Input'!$I18=F$3,'11. Water - Capex Input'!$G18,IF(E35&gt;1,E35-1,0))</f>
        <v>80</v>
      </c>
      <c r="G35" s="30">
        <f>IF('11. Water - Capex Input'!$I18=G$3,'11. Water - Capex Input'!$G18,IF(F35&gt;1,F35-1,0))</f>
        <v>79</v>
      </c>
      <c r="H35" s="30">
        <f>IF('11. Water - Capex Input'!$I18=H$3,'11. Water - Capex Input'!$G18,IF(G35&gt;1,G35-1,0))</f>
        <v>78</v>
      </c>
    </row>
    <row r="36" spans="2:8">
      <c r="B36" s="152">
        <f>'11. Water - Capex Input'!F19</f>
        <v>0</v>
      </c>
      <c r="D36" s="30">
        <f>IF('11. Water - Capex Input'!$I19=D$3,'11. Water - Capex Input'!$G19,IF(C36&gt;1,C36-1,0))</f>
        <v>0</v>
      </c>
      <c r="E36" s="30">
        <f>IF('11. Water - Capex Input'!$I19=E$3,'11. Water - Capex Input'!$G19,IF(D36&gt;1,D36-1,0))</f>
        <v>0</v>
      </c>
      <c r="F36" s="30">
        <f>IF('11. Water - Capex Input'!$I19=F$3,'11. Water - Capex Input'!$G19,IF(E36&gt;1,E36-1,0))</f>
        <v>0</v>
      </c>
      <c r="G36" s="30">
        <f>IF('11. Water - Capex Input'!$I19=G$3,'11. Water - Capex Input'!$G19,IF(F36&gt;1,F36-1,0))</f>
        <v>80</v>
      </c>
      <c r="H36" s="30">
        <f>IF('11. Water - Capex Input'!$I19=H$3,'11. Water - Capex Input'!$G19,IF(G36&gt;1,G36-1,0))</f>
        <v>79</v>
      </c>
    </row>
    <row r="37" spans="2:8">
      <c r="B37" s="152">
        <f>'11. Water - Capex Input'!F20</f>
        <v>0</v>
      </c>
      <c r="D37" s="30">
        <f>IF('11. Water - Capex Input'!$I20=D$3,'11. Water - Capex Input'!$G20,IF(C37&gt;1,C37-1,0))</f>
        <v>0</v>
      </c>
      <c r="E37" s="30">
        <f>IF('11. Water - Capex Input'!$I20=E$3,'11. Water - Capex Input'!$G20,IF(D37&gt;1,D37-1,0))</f>
        <v>0</v>
      </c>
      <c r="F37" s="30">
        <f>IF('11. Water - Capex Input'!$I20=F$3,'11. Water - Capex Input'!$G20,IF(E37&gt;1,E37-1,0))</f>
        <v>0</v>
      </c>
      <c r="G37" s="30">
        <f>IF('11. Water - Capex Input'!$I20=G$3,'11. Water - Capex Input'!$G20,IF(F37&gt;1,F37-1,0))</f>
        <v>0</v>
      </c>
      <c r="H37" s="30">
        <f>IF('11. Water - Capex Input'!$I20=H$3,'11. Water - Capex Input'!$G20,IF(G37&gt;1,G37-1,0))</f>
        <v>80</v>
      </c>
    </row>
    <row r="38" spans="2:8">
      <c r="B38" s="152">
        <f>'11. Water - Capex Input'!F21</f>
        <v>0</v>
      </c>
      <c r="D38" s="30">
        <f>IF('11. Water - Capex Input'!$I21=D$3,'11. Water - Capex Input'!$G21,IF(C38&gt;1,C38-1,0))</f>
        <v>40</v>
      </c>
      <c r="E38" s="30">
        <f>IF('11. Water - Capex Input'!$I21=E$3,'11. Water - Capex Input'!$G21,IF(D38&gt;1,D38-1,0))</f>
        <v>39</v>
      </c>
      <c r="F38" s="30">
        <f>IF('11. Water - Capex Input'!$I21=F$3,'11. Water - Capex Input'!$G21,IF(E38&gt;1,E38-1,0))</f>
        <v>38</v>
      </c>
      <c r="G38" s="30">
        <f>IF('11. Water - Capex Input'!$I21=G$3,'11. Water - Capex Input'!$G21,IF(F38&gt;1,F38-1,0))</f>
        <v>37</v>
      </c>
      <c r="H38" s="30">
        <f>IF('11. Water - Capex Input'!$I21=H$3,'11. Water - Capex Input'!$G21,IF(G38&gt;1,G38-1,0))</f>
        <v>36</v>
      </c>
    </row>
    <row r="39" spans="2:8">
      <c r="B39" s="152">
        <f>'11. Water - Capex Input'!F22</f>
        <v>0</v>
      </c>
      <c r="D39" s="30">
        <f>IF('11. Water - Capex Input'!$I22=D$3,'11. Water - Capex Input'!$G22,IF(C39&gt;1,C39-1,0))</f>
        <v>0</v>
      </c>
      <c r="E39" s="30">
        <f>IF('11. Water - Capex Input'!$I22=E$3,'11. Water - Capex Input'!$G22,IF(D39&gt;1,D39-1,0))</f>
        <v>40</v>
      </c>
      <c r="F39" s="30">
        <f>IF('11. Water - Capex Input'!$I22=F$3,'11. Water - Capex Input'!$G22,IF(E39&gt;1,E39-1,0))</f>
        <v>39</v>
      </c>
      <c r="G39" s="30">
        <f>IF('11. Water - Capex Input'!$I22=G$3,'11. Water - Capex Input'!$G22,IF(F39&gt;1,F39-1,0))</f>
        <v>38</v>
      </c>
      <c r="H39" s="30">
        <f>IF('11. Water - Capex Input'!$I22=H$3,'11. Water - Capex Input'!$G22,IF(G39&gt;1,G39-1,0))</f>
        <v>37</v>
      </c>
    </row>
    <row r="40" spans="2:8">
      <c r="B40" s="152">
        <f>'11. Water - Capex Input'!F23</f>
        <v>0</v>
      </c>
      <c r="D40" s="30">
        <f>IF('11. Water - Capex Input'!$I23=D$3,'11. Water - Capex Input'!$G23,IF(C40&gt;1,C40-1,0))</f>
        <v>0</v>
      </c>
      <c r="E40" s="30">
        <f>IF('11. Water - Capex Input'!$I23=E$3,'11. Water - Capex Input'!$G23,IF(D40&gt;1,D40-1,0))</f>
        <v>0</v>
      </c>
      <c r="F40" s="30">
        <f>IF('11. Water - Capex Input'!$I23=F$3,'11. Water - Capex Input'!$G23,IF(E40&gt;1,E40-1,0))</f>
        <v>40</v>
      </c>
      <c r="G40" s="30">
        <f>IF('11. Water - Capex Input'!$I23=G$3,'11. Water - Capex Input'!$G23,IF(F40&gt;1,F40-1,0))</f>
        <v>39</v>
      </c>
      <c r="H40" s="30">
        <f>IF('11. Water - Capex Input'!$I23=H$3,'11. Water - Capex Input'!$G23,IF(G40&gt;1,G40-1,0))</f>
        <v>38</v>
      </c>
    </row>
    <row r="41" spans="2:8">
      <c r="B41" s="152">
        <f>'11. Water - Capex Input'!F24</f>
        <v>0</v>
      </c>
      <c r="D41" s="30">
        <f>IF('11. Water - Capex Input'!$I24=D$3,'11. Water - Capex Input'!$G24,IF(C41&gt;1,C41-1,0))</f>
        <v>0</v>
      </c>
      <c r="E41" s="30">
        <f>IF('11. Water - Capex Input'!$I24=E$3,'11. Water - Capex Input'!$G24,IF(D41&gt;1,D41-1,0))</f>
        <v>0</v>
      </c>
      <c r="F41" s="30">
        <f>IF('11. Water - Capex Input'!$I24=F$3,'11. Water - Capex Input'!$G24,IF(E41&gt;1,E41-1,0))</f>
        <v>50</v>
      </c>
      <c r="G41" s="30">
        <f>IF('11. Water - Capex Input'!$I24=G$3,'11. Water - Capex Input'!$G24,IF(F41&gt;1,F41-1,0))</f>
        <v>49</v>
      </c>
      <c r="H41" s="30">
        <f>IF('11. Water - Capex Input'!$I24=H$3,'11. Water - Capex Input'!$G24,IF(G41&gt;1,G41-1,0))</f>
        <v>48</v>
      </c>
    </row>
    <row r="42" spans="2:8">
      <c r="B42" s="152">
        <f>'11. Water - Capex Input'!F25</f>
        <v>0</v>
      </c>
      <c r="D42" s="30">
        <f>IF('11. Water - Capex Input'!$I25=D$3,'11. Water - Capex Input'!$G25,IF(C42&gt;1,C42-1,0))</f>
        <v>0</v>
      </c>
      <c r="E42" s="30">
        <f>IF('11. Water - Capex Input'!$I25=E$3,'11. Water - Capex Input'!$G25,IF(D42&gt;1,D42-1,0))</f>
        <v>0</v>
      </c>
      <c r="F42" s="30">
        <f>IF('11. Water - Capex Input'!$I25=F$3,'11. Water - Capex Input'!$G25,IF(E42&gt;1,E42-1,0))</f>
        <v>0</v>
      </c>
      <c r="G42" s="30">
        <f>IF('11. Water - Capex Input'!$I25=G$3,'11. Water - Capex Input'!$G25,IF(F42&gt;1,F42-1,0))</f>
        <v>50</v>
      </c>
      <c r="H42" s="30">
        <f>IF('11. Water - Capex Input'!$I25=H$3,'11. Water - Capex Input'!$G25,IF(G42&gt;1,G42-1,0))</f>
        <v>49</v>
      </c>
    </row>
    <row r="43" spans="2:8">
      <c r="B43" s="152">
        <f>'11. Water - Capex Input'!F26</f>
        <v>0</v>
      </c>
      <c r="D43" s="30">
        <f>IF('11. Water - Capex Input'!$I26=D$3,'11. Water - Capex Input'!$G26,IF(C43&gt;1,C43-1,0))</f>
        <v>0</v>
      </c>
      <c r="E43" s="30">
        <f>IF('11. Water - Capex Input'!$I26=E$3,'11. Water - Capex Input'!$G26,IF(D43&gt;1,D43-1,0))</f>
        <v>0</v>
      </c>
      <c r="F43" s="30">
        <f>IF('11. Water - Capex Input'!$I26=F$3,'11. Water - Capex Input'!$G26,IF(E43&gt;1,E43-1,0))</f>
        <v>0</v>
      </c>
      <c r="G43" s="30">
        <f>IF('11. Water - Capex Input'!$I26=G$3,'11. Water - Capex Input'!$G26,IF(F43&gt;1,F43-1,0))</f>
        <v>0</v>
      </c>
      <c r="H43" s="30">
        <f>IF('11. Water - Capex Input'!$I26=H$3,'11. Water - Capex Input'!$G26,IF(G43&gt;1,G43-1,0))</f>
        <v>50</v>
      </c>
    </row>
    <row r="44" spans="2:8">
      <c r="B44" s="152">
        <f>'11. Water - Capex Input'!F27</f>
        <v>0</v>
      </c>
      <c r="D44" s="30">
        <f>IF('11. Water - Capex Input'!$I27=D$3,'11. Water - Capex Input'!$G27,IF(C44&gt;1,C44-1,0))</f>
        <v>0</v>
      </c>
      <c r="E44" s="30">
        <f>IF('11. Water - Capex Input'!$I27=E$3,'11. Water - Capex Input'!$G27,IF(D44&gt;1,D44-1,0))</f>
        <v>30</v>
      </c>
      <c r="F44" s="30">
        <f>IF('11. Water - Capex Input'!$I27=F$3,'11. Water - Capex Input'!$G27,IF(E44&gt;1,E44-1,0))</f>
        <v>29</v>
      </c>
      <c r="G44" s="30">
        <f>IF('11. Water - Capex Input'!$I27=G$3,'11. Water - Capex Input'!$G27,IF(F44&gt;1,F44-1,0))</f>
        <v>28</v>
      </c>
      <c r="H44" s="30">
        <f>IF('11. Water - Capex Input'!$I27=H$3,'11. Water - Capex Input'!$G27,IF(G44&gt;1,G44-1,0))</f>
        <v>27</v>
      </c>
    </row>
    <row r="45" spans="2:8">
      <c r="B45" s="152">
        <f>'11. Water - Capex Input'!F28</f>
        <v>0</v>
      </c>
      <c r="D45" s="30">
        <f>IF('11. Water - Capex Input'!$I28=D$3,'11. Water - Capex Input'!$G28,IF(C45&gt;1,C45-1,0))</f>
        <v>0</v>
      </c>
      <c r="E45" s="30">
        <f>IF('11. Water - Capex Input'!$I28=E$3,'11. Water - Capex Input'!$G28,IF(D45&gt;1,D45-1,0))</f>
        <v>0</v>
      </c>
      <c r="F45" s="30">
        <f>IF('11. Water - Capex Input'!$I28=F$3,'11. Water - Capex Input'!$G28,IF(E45&gt;1,E45-1,0))</f>
        <v>30</v>
      </c>
      <c r="G45" s="30">
        <f>IF('11. Water - Capex Input'!$I28=G$3,'11. Water - Capex Input'!$G28,IF(F45&gt;1,F45-1,0))</f>
        <v>29</v>
      </c>
      <c r="H45" s="30">
        <f>IF('11. Water - Capex Input'!$I28=H$3,'11. Water - Capex Input'!$G28,IF(G45&gt;1,G45-1,0))</f>
        <v>28</v>
      </c>
    </row>
    <row r="46" spans="2:8">
      <c r="B46" s="152">
        <f>'11. Water - Capex Input'!F29</f>
        <v>0</v>
      </c>
      <c r="D46" s="30">
        <f>IF('11. Water - Capex Input'!$I29=D$3,'11. Water - Capex Input'!$G29,IF(C46&gt;1,C46-1,0))</f>
        <v>0</v>
      </c>
      <c r="E46" s="30">
        <f>IF('11. Water - Capex Input'!$I29=E$3,'11. Water - Capex Input'!$G29,IF(D46&gt;1,D46-1,0))</f>
        <v>0</v>
      </c>
      <c r="F46" s="30">
        <f>IF('11. Water - Capex Input'!$I29=F$3,'11. Water - Capex Input'!$G29,IF(E46&gt;1,E46-1,0))</f>
        <v>0</v>
      </c>
      <c r="G46" s="30">
        <f>IF('11. Water - Capex Input'!$I29=G$3,'11. Water - Capex Input'!$G29,IF(F46&gt;1,F46-1,0))</f>
        <v>30</v>
      </c>
      <c r="H46" s="30">
        <f>IF('11. Water - Capex Input'!$I29=H$3,'11. Water - Capex Input'!$G29,IF(G46&gt;1,G46-1,0))</f>
        <v>29</v>
      </c>
    </row>
    <row r="47" spans="2:8">
      <c r="B47" s="152">
        <f>'11. Water - Capex Input'!F30</f>
        <v>0</v>
      </c>
      <c r="D47" s="30">
        <f>IF('11. Water - Capex Input'!$I30=D$3,'11. Water - Capex Input'!$G30,IF(C47&gt;1,C47-1,0))</f>
        <v>0</v>
      </c>
      <c r="E47" s="30">
        <f>IF('11. Water - Capex Input'!$I30=E$3,'11. Water - Capex Input'!$G30,IF(D47&gt;1,D47-1,0))</f>
        <v>0</v>
      </c>
      <c r="F47" s="30">
        <f>IF('11. Water - Capex Input'!$I30=F$3,'11. Water - Capex Input'!$G30,IF(E47&gt;1,E47-1,0))</f>
        <v>0</v>
      </c>
      <c r="G47" s="30">
        <f>IF('11. Water - Capex Input'!$I30=G$3,'11. Water - Capex Input'!$G30,IF(F47&gt;1,F47-1,0))</f>
        <v>0</v>
      </c>
      <c r="H47" s="30">
        <f>IF('11. Water - Capex Input'!$I30=H$3,'11. Water - Capex Input'!$G30,IF(G47&gt;1,G47-1,0))</f>
        <v>30</v>
      </c>
    </row>
    <row r="48" spans="2:8">
      <c r="B48" s="152">
        <f>'11. Water - Capex Input'!F31</f>
        <v>0</v>
      </c>
      <c r="D48" s="30">
        <f>IF('11. Water - Capex Input'!$I31=D$3,'11. Water - Capex Input'!$G31,IF(C48&gt;1,C48-1,0))</f>
        <v>0</v>
      </c>
      <c r="E48" s="30">
        <f>IF('11. Water - Capex Input'!$I31=E$3,'11. Water - Capex Input'!$G31,IF(D48&gt;1,D48-1,0))</f>
        <v>0</v>
      </c>
      <c r="F48" s="30">
        <f>IF('11. Water - Capex Input'!$I31=F$3,'11. Water - Capex Input'!$G31,IF(E48&gt;1,E48-1,0))</f>
        <v>80</v>
      </c>
      <c r="G48" s="30">
        <f>IF('11. Water - Capex Input'!$I31=G$3,'11. Water - Capex Input'!$G31,IF(F48&gt;1,F48-1,0))</f>
        <v>79</v>
      </c>
      <c r="H48" s="30">
        <f>IF('11. Water - Capex Input'!$I31=H$3,'11. Water - Capex Input'!$G31,IF(G48&gt;1,G48-1,0))</f>
        <v>78</v>
      </c>
    </row>
    <row r="49" spans="2:8">
      <c r="B49" s="152">
        <f>'11. Water - Capex Input'!F32</f>
        <v>0</v>
      </c>
      <c r="D49" s="30">
        <f>IF('11. Water - Capex Input'!$I32=D$3,'11. Water - Capex Input'!$G32,IF(C49&gt;1,C49-1,0))</f>
        <v>0</v>
      </c>
      <c r="E49" s="30">
        <f>IF('11. Water - Capex Input'!$I32=E$3,'11. Water - Capex Input'!$G32,IF(D49&gt;1,D49-1,0))</f>
        <v>0</v>
      </c>
      <c r="F49" s="30">
        <f>IF('11. Water - Capex Input'!$I32=F$3,'11. Water - Capex Input'!$G32,IF(E49&gt;1,E49-1,0))</f>
        <v>0</v>
      </c>
      <c r="G49" s="30">
        <f>IF('11. Water - Capex Input'!$I32=G$3,'11. Water - Capex Input'!$G32,IF(F49&gt;1,F49-1,0))</f>
        <v>80</v>
      </c>
      <c r="H49" s="30">
        <f>IF('11. Water - Capex Input'!$I32=H$3,'11. Water - Capex Input'!$G32,IF(G49&gt;1,G49-1,0))</f>
        <v>79</v>
      </c>
    </row>
    <row r="50" spans="2:8">
      <c r="B50" s="152">
        <f>'11. Water - Capex Input'!F33</f>
        <v>0</v>
      </c>
      <c r="D50" s="30">
        <f>IF('11. Water - Capex Input'!$I33=D$3,'11. Water - Capex Input'!$G33,IF(C50&gt;1,C50-1,0))</f>
        <v>0</v>
      </c>
      <c r="E50" s="30">
        <f>IF('11. Water - Capex Input'!$I33=E$3,'11. Water - Capex Input'!$G33,IF(D50&gt;1,D50-1,0))</f>
        <v>0</v>
      </c>
      <c r="F50" s="30">
        <f>IF('11. Water - Capex Input'!$I33=F$3,'11. Water - Capex Input'!$G33,IF(E50&gt;1,E50-1,0))</f>
        <v>0</v>
      </c>
      <c r="G50" s="30">
        <f>IF('11. Water - Capex Input'!$I33=G$3,'11. Water - Capex Input'!$G33,IF(F50&gt;1,F50-1,0))</f>
        <v>0</v>
      </c>
      <c r="H50" s="30">
        <f>IF('11. Water - Capex Input'!$I33=H$3,'11. Water - Capex Input'!$G33,IF(G50&gt;1,G50-1,0))</f>
        <v>80</v>
      </c>
    </row>
    <row r="51" spans="2:8">
      <c r="B51" s="152">
        <f>'11. Water - Capex Input'!F34</f>
        <v>0</v>
      </c>
      <c r="D51" s="30">
        <f>IF('11. Water - Capex Input'!$I34=D$3,'11. Water - Capex Input'!$G34,IF(C51&gt;1,C51-1,0))</f>
        <v>0</v>
      </c>
      <c r="E51" s="30">
        <f>IF('11. Water - Capex Input'!$I34=E$3,'11. Water - Capex Input'!$G34,IF(D51&gt;1,D51-1,0))</f>
        <v>40</v>
      </c>
      <c r="F51" s="30">
        <f>IF('11. Water - Capex Input'!$I34=F$3,'11. Water - Capex Input'!$G34,IF(E51&gt;1,E51-1,0))</f>
        <v>39</v>
      </c>
      <c r="G51" s="30">
        <f>IF('11. Water - Capex Input'!$I34=G$3,'11. Water - Capex Input'!$G34,IF(F51&gt;1,F51-1,0))</f>
        <v>38</v>
      </c>
      <c r="H51" s="30">
        <f>IF('11. Water - Capex Input'!$I34=H$3,'11. Water - Capex Input'!$G34,IF(G51&gt;1,G51-1,0))</f>
        <v>37</v>
      </c>
    </row>
    <row r="52" spans="2:8">
      <c r="B52" s="152">
        <f>'11. Water - Capex Input'!F35</f>
        <v>0</v>
      </c>
      <c r="D52" s="30">
        <f>IF('11. Water - Capex Input'!$I35=D$3,'11. Water - Capex Input'!$G35,IF(C52&gt;1,C52-1,0))</f>
        <v>0</v>
      </c>
      <c r="E52" s="30">
        <f>IF('11. Water - Capex Input'!$I35=E$3,'11. Water - Capex Input'!$G35,IF(D52&gt;1,D52-1,0))</f>
        <v>0</v>
      </c>
      <c r="F52" s="30">
        <f>IF('11. Water - Capex Input'!$I35=F$3,'11. Water - Capex Input'!$G35,IF(E52&gt;1,E52-1,0))</f>
        <v>40</v>
      </c>
      <c r="G52" s="30">
        <f>IF('11. Water - Capex Input'!$I35=G$3,'11. Water - Capex Input'!$G35,IF(F52&gt;1,F52-1,0))</f>
        <v>39</v>
      </c>
      <c r="H52" s="30">
        <f>IF('11. Water - Capex Input'!$I35=H$3,'11. Water - Capex Input'!$G35,IF(G52&gt;1,G52-1,0))</f>
        <v>38</v>
      </c>
    </row>
    <row r="53" spans="2:8">
      <c r="B53" s="152">
        <f>'11. Water - Capex Input'!F36</f>
        <v>0</v>
      </c>
      <c r="D53" s="30">
        <f>IF('11. Water - Capex Input'!$I36=D$3,'11. Water - Capex Input'!$G36,IF(C53&gt;1,C53-1,0))</f>
        <v>0</v>
      </c>
      <c r="E53" s="30">
        <f>IF('11. Water - Capex Input'!$I36=E$3,'11. Water - Capex Input'!$G36,IF(D53&gt;1,D53-1,0))</f>
        <v>0</v>
      </c>
      <c r="F53" s="30">
        <f>IF('11. Water - Capex Input'!$I36=F$3,'11. Water - Capex Input'!$G36,IF(E53&gt;1,E53-1,0))</f>
        <v>0</v>
      </c>
      <c r="G53" s="30">
        <f>IF('11. Water - Capex Input'!$I36=G$3,'11. Water - Capex Input'!$G36,IF(F53&gt;1,F53-1,0))</f>
        <v>40</v>
      </c>
      <c r="H53" s="30">
        <f>IF('11. Water - Capex Input'!$I36=H$3,'11. Water - Capex Input'!$G36,IF(G53&gt;1,G53-1,0))</f>
        <v>39</v>
      </c>
    </row>
    <row r="54" spans="2:8">
      <c r="B54" s="152">
        <f>'11. Water - Capex Input'!F37</f>
        <v>0</v>
      </c>
      <c r="D54" s="30">
        <f>IF('11. Water - Capex Input'!$I37=D$3,'11. Water - Capex Input'!$G37,IF(C54&gt;1,C54-1,0))</f>
        <v>0</v>
      </c>
      <c r="E54" s="30">
        <f>IF('11. Water - Capex Input'!$I37=E$3,'11. Water - Capex Input'!$G37,IF(D54&gt;1,D54-1,0))</f>
        <v>0</v>
      </c>
      <c r="F54" s="30">
        <f>IF('11. Water - Capex Input'!$I37=F$3,'11. Water - Capex Input'!$G37,IF(E54&gt;1,E54-1,0))</f>
        <v>0</v>
      </c>
      <c r="G54" s="30">
        <f>IF('11. Water - Capex Input'!$I37=G$3,'11. Water - Capex Input'!$G37,IF(F54&gt;1,F54-1,0))</f>
        <v>0</v>
      </c>
      <c r="H54" s="30">
        <f>IF('11. Water - Capex Input'!$I37=H$3,'11. Water - Capex Input'!$G37,IF(G54&gt;1,G54-1,0))</f>
        <v>40</v>
      </c>
    </row>
    <row r="55" spans="2:8">
      <c r="B55" s="152">
        <f>'11. Water - Capex Input'!F38</f>
        <v>0</v>
      </c>
      <c r="D55" s="30">
        <f>IF('11. Water - Capex Input'!$I38=D$3,'11. Water - Capex Input'!$G38,IF(C55&gt;1,C55-1,0))</f>
        <v>50</v>
      </c>
      <c r="E55" s="30">
        <f>IF('11. Water - Capex Input'!$I38=E$3,'11. Water - Capex Input'!$G38,IF(D55&gt;1,D55-1,0))</f>
        <v>49</v>
      </c>
      <c r="F55" s="30">
        <f>IF('11. Water - Capex Input'!$I38=F$3,'11. Water - Capex Input'!$G38,IF(E55&gt;1,E55-1,0))</f>
        <v>48</v>
      </c>
      <c r="G55" s="30">
        <f>IF('11. Water - Capex Input'!$I38=G$3,'11. Water - Capex Input'!$G38,IF(F55&gt;1,F55-1,0))</f>
        <v>47</v>
      </c>
      <c r="H55" s="30">
        <f>IF('11. Water - Capex Input'!$I38=H$3,'11. Water - Capex Input'!$G38,IF(G55&gt;1,G55-1,0))</f>
        <v>46</v>
      </c>
    </row>
    <row r="56" spans="2:8">
      <c r="B56" s="152">
        <f>'11. Water - Capex Input'!F39</f>
        <v>0</v>
      </c>
      <c r="D56" s="30">
        <f>IF('11. Water - Capex Input'!$I39=D$3,'11. Water - Capex Input'!$G39,IF(C56&gt;1,C56-1,0))</f>
        <v>0</v>
      </c>
      <c r="E56" s="30">
        <f>IF('11. Water - Capex Input'!$I39=E$3,'11. Water - Capex Input'!$G39,IF(D56&gt;1,D56-1,0))</f>
        <v>50</v>
      </c>
      <c r="F56" s="30">
        <f>IF('11. Water - Capex Input'!$I39=F$3,'11. Water - Capex Input'!$G39,IF(E56&gt;1,E56-1,0))</f>
        <v>49</v>
      </c>
      <c r="G56" s="30">
        <f>IF('11. Water - Capex Input'!$I39=G$3,'11. Water - Capex Input'!$G39,IF(F56&gt;1,F56-1,0))</f>
        <v>48</v>
      </c>
      <c r="H56" s="30">
        <f>IF('11. Water - Capex Input'!$I39=H$3,'11. Water - Capex Input'!$G39,IF(G56&gt;1,G56-1,0))</f>
        <v>47</v>
      </c>
    </row>
    <row r="57" spans="2:8">
      <c r="B57" s="152">
        <f>'11. Water - Capex Input'!F40</f>
        <v>0</v>
      </c>
      <c r="D57" s="30">
        <f>IF('11. Water - Capex Input'!$I40=D$3,'11. Water - Capex Input'!$G40,IF(C57&gt;1,C57-1,0))</f>
        <v>80</v>
      </c>
      <c r="E57" s="30">
        <f>IF('11. Water - Capex Input'!$I40=E$3,'11. Water - Capex Input'!$G40,IF(D57&gt;1,D57-1,0))</f>
        <v>79</v>
      </c>
      <c r="F57" s="30">
        <f>IF('11. Water - Capex Input'!$I40=F$3,'11. Water - Capex Input'!$G40,IF(E57&gt;1,E57-1,0))</f>
        <v>78</v>
      </c>
      <c r="G57" s="30">
        <f>IF('11. Water - Capex Input'!$I40=G$3,'11. Water - Capex Input'!$G40,IF(F57&gt;1,F57-1,0))</f>
        <v>77</v>
      </c>
      <c r="H57" s="30">
        <f>IF('11. Water - Capex Input'!$I40=H$3,'11. Water - Capex Input'!$G40,IF(G57&gt;1,G57-1,0))</f>
        <v>76</v>
      </c>
    </row>
    <row r="58" spans="2:8">
      <c r="B58" s="152">
        <f>'11. Water - Capex Input'!F41</f>
        <v>0</v>
      </c>
      <c r="D58" s="30">
        <f>IF('11. Water - Capex Input'!$I41=D$3,'11. Water - Capex Input'!$G41,IF(C58&gt;1,C58-1,0))</f>
        <v>0</v>
      </c>
      <c r="E58" s="30">
        <f>IF('11. Water - Capex Input'!$I41=E$3,'11. Water - Capex Input'!$G41,IF(D58&gt;1,D58-1,0))</f>
        <v>80</v>
      </c>
      <c r="F58" s="30">
        <f>IF('11. Water - Capex Input'!$I41=F$3,'11. Water - Capex Input'!$G41,IF(E58&gt;1,E58-1,0))</f>
        <v>79</v>
      </c>
      <c r="G58" s="30">
        <f>IF('11. Water - Capex Input'!$I41=G$3,'11. Water - Capex Input'!$G41,IF(F58&gt;1,F58-1,0))</f>
        <v>78</v>
      </c>
      <c r="H58" s="30">
        <f>IF('11. Water - Capex Input'!$I41=H$3,'11. Water - Capex Input'!$G41,IF(G58&gt;1,G58-1,0))</f>
        <v>77</v>
      </c>
    </row>
    <row r="59" spans="2:8">
      <c r="B59" s="152">
        <f>'11. Water - Capex Input'!F42</f>
        <v>0</v>
      </c>
      <c r="D59" s="30">
        <f>IF('11. Water - Capex Input'!$I42=D$3,'11. Water - Capex Input'!$G42,IF(C59&gt;1,C59-1,0))</f>
        <v>0</v>
      </c>
      <c r="E59" s="30">
        <f>IF('11. Water - Capex Input'!$I42=E$3,'11. Water - Capex Input'!$G42,IF(D59&gt;1,D59-1,0))</f>
        <v>0</v>
      </c>
      <c r="F59" s="30">
        <f>IF('11. Water - Capex Input'!$I42=F$3,'11. Water - Capex Input'!$G42,IF(E59&gt;1,E59-1,0))</f>
        <v>0</v>
      </c>
      <c r="G59" s="30">
        <f>IF('11. Water - Capex Input'!$I42=G$3,'11. Water - Capex Input'!$G42,IF(F59&gt;1,F59-1,0))</f>
        <v>60</v>
      </c>
      <c r="H59" s="30">
        <f>IF('11. Water - Capex Input'!$I42=H$3,'11. Water - Capex Input'!$G42,IF(G59&gt;1,G59-1,0))</f>
        <v>59</v>
      </c>
    </row>
    <row r="60" spans="2:8">
      <c r="B60" s="152">
        <f>'11. Water - Capex Input'!F43</f>
        <v>0</v>
      </c>
      <c r="D60" s="30">
        <f>IF('11. Water - Capex Input'!$I43=D$3,'11. Water - Capex Input'!$G43,IF(C60&gt;1,C60-1,0))</f>
        <v>0</v>
      </c>
      <c r="E60" s="30">
        <f>IF('11. Water - Capex Input'!$I43=E$3,'11. Water - Capex Input'!$G43,IF(D60&gt;1,D60-1,0))</f>
        <v>0</v>
      </c>
      <c r="F60" s="30">
        <f>IF('11. Water - Capex Input'!$I43=F$3,'11. Water - Capex Input'!$G43,IF(E60&gt;1,E60-1,0))</f>
        <v>0</v>
      </c>
      <c r="G60" s="30">
        <f>IF('11. Water - Capex Input'!$I43=G$3,'11. Water - Capex Input'!$G43,IF(F60&gt;1,F60-1,0))</f>
        <v>0</v>
      </c>
      <c r="H60" s="30">
        <f>IF('11. Water - Capex Input'!$I43=H$3,'11. Water - Capex Input'!$G43,IF(G60&gt;1,G60-1,0))</f>
        <v>60</v>
      </c>
    </row>
    <row r="61" spans="2:8">
      <c r="B61" s="152">
        <f>'11. Water - Capex Input'!F44</f>
        <v>0</v>
      </c>
      <c r="D61" s="30">
        <f>IF('11. Water - Capex Input'!$I44=D$3,'11. Water - Capex Input'!$G44,IF(C61&gt;1,C61-1,0))</f>
        <v>0</v>
      </c>
      <c r="E61" s="30">
        <f>IF('11. Water - Capex Input'!$I44=E$3,'11. Water - Capex Input'!$G44,IF(D61&gt;1,D61-1,0))</f>
        <v>0</v>
      </c>
      <c r="F61" s="30">
        <f>IF('11. Water - Capex Input'!$I44=F$3,'11. Water - Capex Input'!$G44,IF(E61&gt;1,E61-1,0))</f>
        <v>80</v>
      </c>
      <c r="G61" s="30">
        <f>IF('11. Water - Capex Input'!$I44=G$3,'11. Water - Capex Input'!$G44,IF(F61&gt;1,F61-1,0))</f>
        <v>79</v>
      </c>
      <c r="H61" s="30">
        <f>IF('11. Water - Capex Input'!$I44=H$3,'11. Water - Capex Input'!$G44,IF(G61&gt;1,G61-1,0))</f>
        <v>78</v>
      </c>
    </row>
    <row r="62" spans="2:8">
      <c r="B62" s="152">
        <f>'11. Water - Capex Input'!F45</f>
        <v>0</v>
      </c>
      <c r="D62" s="30">
        <f>IF('11. Water - Capex Input'!$I45=D$3,'11. Water - Capex Input'!$G45,IF(C62&gt;1,C62-1,0))</f>
        <v>0</v>
      </c>
      <c r="E62" s="30">
        <f>IF('11. Water - Capex Input'!$I45=E$3,'11. Water - Capex Input'!$G45,IF(D62&gt;1,D62-1,0))</f>
        <v>0</v>
      </c>
      <c r="F62" s="30">
        <f>IF('11. Water - Capex Input'!$I45=F$3,'11. Water - Capex Input'!$G45,IF(E62&gt;1,E62-1,0))</f>
        <v>0</v>
      </c>
      <c r="G62" s="30">
        <f>IF('11. Water - Capex Input'!$I45=G$3,'11. Water - Capex Input'!$G45,IF(F62&gt;1,F62-1,0))</f>
        <v>80</v>
      </c>
      <c r="H62" s="30">
        <f>IF('11. Water - Capex Input'!$I45=H$3,'11. Water - Capex Input'!$G45,IF(G62&gt;1,G62-1,0))</f>
        <v>79</v>
      </c>
    </row>
    <row r="63" spans="2:8">
      <c r="B63" s="152">
        <f>'11. Water - Capex Input'!F46</f>
        <v>0</v>
      </c>
      <c r="D63" s="30">
        <f>IF('11. Water - Capex Input'!$I46=D$3,'11. Water - Capex Input'!$G46,IF(C63&gt;1,C63-1,0))</f>
        <v>0</v>
      </c>
      <c r="E63" s="30">
        <f>IF('11. Water - Capex Input'!$I46=E$3,'11. Water - Capex Input'!$G46,IF(D63&gt;1,D63-1,0))</f>
        <v>0</v>
      </c>
      <c r="F63" s="30">
        <f>IF('11. Water - Capex Input'!$I46=F$3,'11. Water - Capex Input'!$G46,IF(E63&gt;1,E63-1,0))</f>
        <v>0</v>
      </c>
      <c r="G63" s="30">
        <f>IF('11. Water - Capex Input'!$I46=G$3,'11. Water - Capex Input'!$G46,IF(F63&gt;1,F63-1,0))</f>
        <v>0</v>
      </c>
      <c r="H63" s="30">
        <f>IF('11. Water - Capex Input'!$I46=H$3,'11. Water - Capex Input'!$G46,IF(G63&gt;1,G63-1,0))</f>
        <v>80</v>
      </c>
    </row>
    <row r="64" spans="2:8">
      <c r="B64" s="152">
        <f>'11. Water - Capex Input'!F47</f>
        <v>0</v>
      </c>
      <c r="D64" s="30">
        <f>IF('11. Water - Capex Input'!$I47=D$3,'11. Water - Capex Input'!$G47,IF(C64&gt;1,C64-1,0))</f>
        <v>40</v>
      </c>
      <c r="E64" s="30">
        <f>IF('11. Water - Capex Input'!$I47=E$3,'11. Water - Capex Input'!$G47,IF(D64&gt;1,D64-1,0))</f>
        <v>39</v>
      </c>
      <c r="F64" s="30">
        <f>IF('11. Water - Capex Input'!$I47=F$3,'11. Water - Capex Input'!$G47,IF(E64&gt;1,E64-1,0))</f>
        <v>38</v>
      </c>
      <c r="G64" s="30">
        <f>IF('11. Water - Capex Input'!$I47=G$3,'11. Water - Capex Input'!$G47,IF(F64&gt;1,F64-1,0))</f>
        <v>37</v>
      </c>
      <c r="H64" s="30">
        <f>IF('11. Water - Capex Input'!$I47=H$3,'11. Water - Capex Input'!$G47,IF(G64&gt;1,G64-1,0))</f>
        <v>36</v>
      </c>
    </row>
    <row r="65" spans="2:8">
      <c r="B65" s="152">
        <f>'11. Water - Capex Input'!F48</f>
        <v>0</v>
      </c>
      <c r="D65" s="30">
        <f>IF('11. Water - Capex Input'!$I48=D$3,'11. Water - Capex Input'!$G48,IF(C65&gt;1,C65-1,0))</f>
        <v>0</v>
      </c>
      <c r="E65" s="30">
        <f>IF('11. Water - Capex Input'!$I48=E$3,'11. Water - Capex Input'!$G48,IF(D65&gt;1,D65-1,0))</f>
        <v>40</v>
      </c>
      <c r="F65" s="30">
        <f>IF('11. Water - Capex Input'!$I48=F$3,'11. Water - Capex Input'!$G48,IF(E65&gt;1,E65-1,0))</f>
        <v>39</v>
      </c>
      <c r="G65" s="30">
        <f>IF('11. Water - Capex Input'!$I48=G$3,'11. Water - Capex Input'!$G48,IF(F65&gt;1,F65-1,0))</f>
        <v>38</v>
      </c>
      <c r="H65" s="30">
        <f>IF('11. Water - Capex Input'!$I48=H$3,'11. Water - Capex Input'!$G48,IF(G65&gt;1,G65-1,0))</f>
        <v>37</v>
      </c>
    </row>
    <row r="66" spans="2:8">
      <c r="B66" s="152">
        <f>'11. Water - Capex Input'!F49</f>
        <v>0</v>
      </c>
      <c r="D66" s="30">
        <f>IF('11. Water - Capex Input'!$I49=D$3,'11. Water - Capex Input'!$G49,IF(C66&gt;1,C66-1,0))</f>
        <v>0</v>
      </c>
      <c r="E66" s="30">
        <f>IF('11. Water - Capex Input'!$I49=E$3,'11. Water - Capex Input'!$G49,IF(D66&gt;1,D66-1,0))</f>
        <v>0</v>
      </c>
      <c r="F66" s="30">
        <f>IF('11. Water - Capex Input'!$I49=F$3,'11. Water - Capex Input'!$G49,IF(E66&gt;1,E66-1,0))</f>
        <v>40</v>
      </c>
      <c r="G66" s="30">
        <f>IF('11. Water - Capex Input'!$I49=G$3,'11. Water - Capex Input'!$G49,IF(F66&gt;1,F66-1,0))</f>
        <v>39</v>
      </c>
      <c r="H66" s="30">
        <f>IF('11. Water - Capex Input'!$I49=H$3,'11. Water - Capex Input'!$G49,IF(G66&gt;1,G66-1,0))</f>
        <v>38</v>
      </c>
    </row>
    <row r="67" spans="2:8">
      <c r="B67" s="152">
        <f>'11. Water - Capex Input'!F50</f>
        <v>0</v>
      </c>
      <c r="D67" s="30">
        <f>IF('11. Water - Capex Input'!$I50=D$3,'11. Water - Capex Input'!$G50,IF(C67&gt;1,C67-1,0))</f>
        <v>0</v>
      </c>
      <c r="E67" s="30">
        <f>IF('11. Water - Capex Input'!$I50=E$3,'11. Water - Capex Input'!$G50,IF(D67&gt;1,D67-1,0))</f>
        <v>40</v>
      </c>
      <c r="F67" s="30">
        <f>IF('11. Water - Capex Input'!$I50=F$3,'11. Water - Capex Input'!$G50,IF(E67&gt;1,E67-1,0))</f>
        <v>39</v>
      </c>
      <c r="G67" s="30">
        <f>IF('11. Water - Capex Input'!$I50=G$3,'11. Water - Capex Input'!$G50,IF(F67&gt;1,F67-1,0))</f>
        <v>38</v>
      </c>
      <c r="H67" s="30">
        <f>IF('11. Water - Capex Input'!$I50=H$3,'11. Water - Capex Input'!$G50,IF(G67&gt;1,G67-1,0))</f>
        <v>37</v>
      </c>
    </row>
    <row r="68" spans="2:8">
      <c r="B68" s="152">
        <f>'11. Water - Capex Input'!F51</f>
        <v>0</v>
      </c>
      <c r="D68" s="30">
        <f>IF('11. Water - Capex Input'!$I51=D$3,'11. Water - Capex Input'!$G51,IF(C68&gt;1,C68-1,0))</f>
        <v>0</v>
      </c>
      <c r="E68" s="30">
        <f>IF('11. Water - Capex Input'!$I51=E$3,'11. Water - Capex Input'!$G51,IF(D68&gt;1,D68-1,0))</f>
        <v>0</v>
      </c>
      <c r="F68" s="30">
        <f>IF('11. Water - Capex Input'!$I51=F$3,'11. Water - Capex Input'!$G51,IF(E68&gt;1,E68-1,0))</f>
        <v>40</v>
      </c>
      <c r="G68" s="30">
        <f>IF('11. Water - Capex Input'!$I51=G$3,'11. Water - Capex Input'!$G51,IF(F68&gt;1,F68-1,0))</f>
        <v>39</v>
      </c>
      <c r="H68" s="30">
        <f>IF('11. Water - Capex Input'!$I51=H$3,'11. Water - Capex Input'!$G51,IF(G68&gt;1,G68-1,0))</f>
        <v>38</v>
      </c>
    </row>
    <row r="69" spans="2:8">
      <c r="B69" s="152">
        <f>'11. Water - Capex Input'!F52</f>
        <v>0</v>
      </c>
      <c r="D69" s="30">
        <f>IF('11. Water - Capex Input'!$I52=D$3,'11. Water - Capex Input'!$G52,IF(C69&gt;1,C69-1,0))</f>
        <v>0</v>
      </c>
      <c r="E69" s="30">
        <f>IF('11. Water - Capex Input'!$I52=E$3,'11. Water - Capex Input'!$G52,IF(D69&gt;1,D69-1,0))</f>
        <v>0</v>
      </c>
      <c r="F69" s="30">
        <f>IF('11. Water - Capex Input'!$I52=F$3,'11. Water - Capex Input'!$G52,IF(E69&gt;1,E69-1,0))</f>
        <v>0</v>
      </c>
      <c r="G69" s="30">
        <f>IF('11. Water - Capex Input'!$I52=G$3,'11. Water - Capex Input'!$G52,IF(F69&gt;1,F69-1,0))</f>
        <v>40</v>
      </c>
      <c r="H69" s="30">
        <f>IF('11. Water - Capex Input'!$I52=H$3,'11. Water - Capex Input'!$G52,IF(G69&gt;1,G69-1,0))</f>
        <v>39</v>
      </c>
    </row>
    <row r="70" spans="2:8">
      <c r="B70" s="152">
        <f>'11. Water - Capex Input'!F53</f>
        <v>0</v>
      </c>
      <c r="D70" s="30">
        <f>IF('11. Water - Capex Input'!$I53=D$3,'11. Water - Capex Input'!$G53,IF(C70&gt;1,C70-1,0))</f>
        <v>0</v>
      </c>
      <c r="E70" s="30">
        <f>IF('11. Water - Capex Input'!$I53=E$3,'11. Water - Capex Input'!$G53,IF(D70&gt;1,D70-1,0))</f>
        <v>40</v>
      </c>
      <c r="F70" s="30">
        <f>IF('11. Water - Capex Input'!$I53=F$3,'11. Water - Capex Input'!$G53,IF(E70&gt;1,E70-1,0))</f>
        <v>39</v>
      </c>
      <c r="G70" s="30">
        <f>IF('11. Water - Capex Input'!$I53=G$3,'11. Water - Capex Input'!$G53,IF(F70&gt;1,F70-1,0))</f>
        <v>38</v>
      </c>
      <c r="H70" s="30">
        <f>IF('11. Water - Capex Input'!$I53=H$3,'11. Water - Capex Input'!$G53,IF(G70&gt;1,G70-1,0))</f>
        <v>37</v>
      </c>
    </row>
    <row r="71" spans="2:8">
      <c r="B71" s="152">
        <f>'11. Water - Capex Input'!F54</f>
        <v>0</v>
      </c>
      <c r="D71" s="30">
        <f>IF('11. Water - Capex Input'!$I54=D$3,'11. Water - Capex Input'!$G54,IF(C71&gt;1,C71-1,0))</f>
        <v>0</v>
      </c>
      <c r="E71" s="30">
        <f>IF('11. Water - Capex Input'!$I54=E$3,'11. Water - Capex Input'!$G54,IF(D71&gt;1,D71-1,0))</f>
        <v>0</v>
      </c>
      <c r="F71" s="30">
        <f>IF('11. Water - Capex Input'!$I54=F$3,'11. Water - Capex Input'!$G54,IF(E71&gt;1,E71-1,0))</f>
        <v>40</v>
      </c>
      <c r="G71" s="30">
        <f>IF('11. Water - Capex Input'!$I54=G$3,'11. Water - Capex Input'!$G54,IF(F71&gt;1,F71-1,0))</f>
        <v>39</v>
      </c>
      <c r="H71" s="30">
        <f>IF('11. Water - Capex Input'!$I54=H$3,'11. Water - Capex Input'!$G54,IF(G71&gt;1,G71-1,0))</f>
        <v>38</v>
      </c>
    </row>
    <row r="72" spans="2:8">
      <c r="B72" s="152">
        <f>'11. Water - Capex Input'!F55</f>
        <v>0</v>
      </c>
      <c r="D72" s="30">
        <f>IF('11. Water - Capex Input'!$I55=D$3,'11. Water - Capex Input'!$G55,IF(C72&gt;1,C72-1,0))</f>
        <v>0</v>
      </c>
      <c r="E72" s="30">
        <f>IF('11. Water - Capex Input'!$I55=E$3,'11. Water - Capex Input'!$G55,IF(D72&gt;1,D72-1,0))</f>
        <v>0</v>
      </c>
      <c r="F72" s="30">
        <f>IF('11. Water - Capex Input'!$I55=F$3,'11. Water - Capex Input'!$G55,IF(E72&gt;1,E72-1,0))</f>
        <v>0</v>
      </c>
      <c r="G72" s="30">
        <f>IF('11. Water - Capex Input'!$I55=G$3,'11. Water - Capex Input'!$G55,IF(F72&gt;1,F72-1,0))</f>
        <v>40</v>
      </c>
      <c r="H72" s="30">
        <f>IF('11. Water - Capex Input'!$I55=H$3,'11. Water - Capex Input'!$G55,IF(G72&gt;1,G72-1,0))</f>
        <v>39</v>
      </c>
    </row>
    <row r="73" spans="2:8">
      <c r="B73" s="152">
        <f>'11. Water - Capex Input'!F56</f>
        <v>0</v>
      </c>
      <c r="D73" s="30">
        <f>IF('11. Water - Capex Input'!$I56=D$3,'11. Water - Capex Input'!$G56,IF(C73&gt;1,C73-1,0))</f>
        <v>0</v>
      </c>
      <c r="E73" s="30">
        <f>IF('11. Water - Capex Input'!$I56=E$3,'11. Water - Capex Input'!$G56,IF(D73&gt;1,D73-1,0))</f>
        <v>0</v>
      </c>
      <c r="F73" s="30">
        <f>IF('11. Water - Capex Input'!$I56=F$3,'11. Water - Capex Input'!$G56,IF(E73&gt;1,E73-1,0))</f>
        <v>40</v>
      </c>
      <c r="G73" s="30">
        <f>IF('11. Water - Capex Input'!$I56=G$3,'11. Water - Capex Input'!$G56,IF(F73&gt;1,F73-1,0))</f>
        <v>39</v>
      </c>
      <c r="H73" s="30">
        <f>IF('11. Water - Capex Input'!$I56=H$3,'11. Water - Capex Input'!$G56,IF(G73&gt;1,G73-1,0))</f>
        <v>38</v>
      </c>
    </row>
    <row r="74" spans="2:8">
      <c r="B74" s="152">
        <f>'11. Water - Capex Input'!F57</f>
        <v>0</v>
      </c>
      <c r="D74" s="30">
        <f>IF('11. Water - Capex Input'!$I57=D$3,'11. Water - Capex Input'!$G57,IF(C74&gt;1,C74-1,0))</f>
        <v>0</v>
      </c>
      <c r="E74" s="30">
        <f>IF('11. Water - Capex Input'!$I57=E$3,'11. Water - Capex Input'!$G57,IF(D74&gt;1,D74-1,0))</f>
        <v>0</v>
      </c>
      <c r="F74" s="30">
        <f>IF('11. Water - Capex Input'!$I57=F$3,'11. Water - Capex Input'!$G57,IF(E74&gt;1,E74-1,0))</f>
        <v>0</v>
      </c>
      <c r="G74" s="30">
        <f>IF('11. Water - Capex Input'!$I57=G$3,'11. Water - Capex Input'!$G57,IF(F74&gt;1,F74-1,0))</f>
        <v>40</v>
      </c>
      <c r="H74" s="30">
        <f>IF('11. Water - Capex Input'!$I57=H$3,'11. Water - Capex Input'!$G57,IF(G74&gt;1,G74-1,0))</f>
        <v>39</v>
      </c>
    </row>
    <row r="75" spans="2:8">
      <c r="B75" s="152">
        <f>'11. Water - Capex Input'!F58</f>
        <v>0</v>
      </c>
      <c r="D75" s="30">
        <f>IF('11. Water - Capex Input'!$I58=D$3,'11. Water - Capex Input'!$G58,IF(C75&gt;1,C75-1,0))</f>
        <v>0</v>
      </c>
      <c r="E75" s="30">
        <f>IF('11. Water - Capex Input'!$I58=E$3,'11. Water - Capex Input'!$G58,IF(D75&gt;1,D75-1,0))</f>
        <v>0</v>
      </c>
      <c r="F75" s="30">
        <f>IF('11. Water - Capex Input'!$I58=F$3,'11. Water - Capex Input'!$G58,IF(E75&gt;1,E75-1,0))</f>
        <v>0</v>
      </c>
      <c r="G75" s="30">
        <f>IF('11. Water - Capex Input'!$I58=G$3,'11. Water - Capex Input'!$G58,IF(F75&gt;1,F75-1,0))</f>
        <v>0</v>
      </c>
      <c r="H75" s="30">
        <f>IF('11. Water - Capex Input'!$I58=H$3,'11. Water - Capex Input'!$G58,IF(G75&gt;1,G75-1,0))</f>
        <v>40</v>
      </c>
    </row>
    <row r="76" spans="2:8">
      <c r="B76" s="152">
        <f>'11. Water - Capex Input'!F59</f>
        <v>0</v>
      </c>
      <c r="D76" s="30">
        <f>IF('11. Water - Capex Input'!$I59=D$3,'11. Water - Capex Input'!$G59,IF(C76&gt;1,C76-1,0))</f>
        <v>80</v>
      </c>
      <c r="E76" s="30">
        <f>IF('11. Water - Capex Input'!$I59=E$3,'11. Water - Capex Input'!$G59,IF(D76&gt;1,D76-1,0))</f>
        <v>79</v>
      </c>
      <c r="F76" s="30">
        <f>IF('11. Water - Capex Input'!$I59=F$3,'11. Water - Capex Input'!$G59,IF(E76&gt;1,E76-1,0))</f>
        <v>78</v>
      </c>
      <c r="G76" s="30">
        <f>IF('11. Water - Capex Input'!$I59=G$3,'11. Water - Capex Input'!$G59,IF(F76&gt;1,F76-1,0))</f>
        <v>77</v>
      </c>
      <c r="H76" s="30">
        <f>IF('11. Water - Capex Input'!$I59=H$3,'11. Water - Capex Input'!$G59,IF(G76&gt;1,G76-1,0))</f>
        <v>76</v>
      </c>
    </row>
    <row r="77" spans="2:8">
      <c r="B77" s="152">
        <f>'11. Water - Capex Input'!F60</f>
        <v>0</v>
      </c>
      <c r="D77" s="30">
        <f>IF('11. Water - Capex Input'!$I60=D$3,'11. Water - Capex Input'!$G60,IF(C77&gt;1,C77-1,0))</f>
        <v>0</v>
      </c>
      <c r="E77" s="30">
        <f>IF('11. Water - Capex Input'!$I60=E$3,'11. Water - Capex Input'!$G60,IF(D77&gt;1,D77-1,0))</f>
        <v>80</v>
      </c>
      <c r="F77" s="30">
        <f>IF('11. Water - Capex Input'!$I60=F$3,'11. Water - Capex Input'!$G60,IF(E77&gt;1,E77-1,0))</f>
        <v>79</v>
      </c>
      <c r="G77" s="30">
        <f>IF('11. Water - Capex Input'!$I60=G$3,'11. Water - Capex Input'!$G60,IF(F77&gt;1,F77-1,0))</f>
        <v>78</v>
      </c>
      <c r="H77" s="30">
        <f>IF('11. Water - Capex Input'!$I60=H$3,'11. Water - Capex Input'!$G60,IF(G77&gt;1,G77-1,0))</f>
        <v>77</v>
      </c>
    </row>
    <row r="78" spans="2:8">
      <c r="B78" s="152">
        <f>'11. Water - Capex Input'!F61</f>
        <v>0</v>
      </c>
      <c r="D78" s="30">
        <f>IF('11. Water - Capex Input'!$I61=D$3,'11. Water - Capex Input'!$G61,IF(C78&gt;1,C78-1,0))</f>
        <v>0</v>
      </c>
      <c r="E78" s="30">
        <f>IF('11. Water - Capex Input'!$I61=E$3,'11. Water - Capex Input'!$G61,IF(D78&gt;1,D78-1,0))</f>
        <v>0</v>
      </c>
      <c r="F78" s="30">
        <f>IF('11. Water - Capex Input'!$I61=F$3,'11. Water - Capex Input'!$G61,IF(E78&gt;1,E78-1,0))</f>
        <v>80</v>
      </c>
      <c r="G78" s="30">
        <f>IF('11. Water - Capex Input'!$I61=G$3,'11. Water - Capex Input'!$G61,IF(F78&gt;1,F78-1,0))</f>
        <v>79</v>
      </c>
      <c r="H78" s="30">
        <f>IF('11. Water - Capex Input'!$I61=H$3,'11. Water - Capex Input'!$G61,IF(G78&gt;1,G78-1,0))</f>
        <v>78</v>
      </c>
    </row>
    <row r="79" spans="2:8">
      <c r="B79" s="152">
        <f>'11. Water - Capex Input'!F62</f>
        <v>0</v>
      </c>
      <c r="D79" s="30">
        <f>IF('11. Water - Capex Input'!$I62=D$3,'11. Water - Capex Input'!$G62,IF(C79&gt;1,C79-1,0))</f>
        <v>30</v>
      </c>
      <c r="E79" s="30">
        <f>IF('11. Water - Capex Input'!$I62=E$3,'11. Water - Capex Input'!$G62,IF(D79&gt;1,D79-1,0))</f>
        <v>29</v>
      </c>
      <c r="F79" s="30">
        <f>IF('11. Water - Capex Input'!$I62=F$3,'11. Water - Capex Input'!$G62,IF(E79&gt;1,E79-1,0))</f>
        <v>28</v>
      </c>
      <c r="G79" s="30">
        <f>IF('11. Water - Capex Input'!$I62=G$3,'11. Water - Capex Input'!$G62,IF(F79&gt;1,F79-1,0))</f>
        <v>27</v>
      </c>
      <c r="H79" s="30">
        <f>IF('11. Water - Capex Input'!$I62=H$3,'11. Water - Capex Input'!$G62,IF(G79&gt;1,G79-1,0))</f>
        <v>26</v>
      </c>
    </row>
    <row r="80" spans="2:8">
      <c r="B80" s="152">
        <f>'11. Water - Capex Input'!F63</f>
        <v>0</v>
      </c>
      <c r="D80" s="30">
        <f>IF('11. Water - Capex Input'!$I63=D$3,'11. Water - Capex Input'!$G63,IF(C80&gt;1,C80-1,0))</f>
        <v>0</v>
      </c>
      <c r="E80" s="30">
        <f>IF('11. Water - Capex Input'!$I63=E$3,'11. Water - Capex Input'!$G63,IF(D80&gt;1,D80-1,0))</f>
        <v>30</v>
      </c>
      <c r="F80" s="30">
        <f>IF('11. Water - Capex Input'!$I63=F$3,'11. Water - Capex Input'!$G63,IF(E80&gt;1,E80-1,0))</f>
        <v>29</v>
      </c>
      <c r="G80" s="30">
        <f>IF('11. Water - Capex Input'!$I63=G$3,'11. Water - Capex Input'!$G63,IF(F80&gt;1,F80-1,0))</f>
        <v>28</v>
      </c>
      <c r="H80" s="30">
        <f>IF('11. Water - Capex Input'!$I63=H$3,'11. Water - Capex Input'!$G63,IF(G80&gt;1,G80-1,0))</f>
        <v>27</v>
      </c>
    </row>
    <row r="81" spans="2:8">
      <c r="B81" s="152">
        <f>'11. Water - Capex Input'!F64</f>
        <v>0</v>
      </c>
      <c r="D81" s="30">
        <f>IF('11. Water - Capex Input'!$I64=D$3,'11. Water - Capex Input'!$G64,IF(C81&gt;1,C81-1,0))</f>
        <v>50</v>
      </c>
      <c r="E81" s="30">
        <f>IF('11. Water - Capex Input'!$I64=E$3,'11. Water - Capex Input'!$G64,IF(D81&gt;1,D81-1,0))</f>
        <v>49</v>
      </c>
      <c r="F81" s="30">
        <f>IF('11. Water - Capex Input'!$I64=F$3,'11. Water - Capex Input'!$G64,IF(E81&gt;1,E81-1,0))</f>
        <v>48</v>
      </c>
      <c r="G81" s="30">
        <f>IF('11. Water - Capex Input'!$I64=G$3,'11. Water - Capex Input'!$G64,IF(F81&gt;1,F81-1,0))</f>
        <v>47</v>
      </c>
      <c r="H81" s="30">
        <f>IF('11. Water - Capex Input'!$I64=H$3,'11. Water - Capex Input'!$G64,IF(G81&gt;1,G81-1,0))</f>
        <v>46</v>
      </c>
    </row>
    <row r="82" spans="2:8">
      <c r="B82" s="152">
        <f>'11. Water - Capex Input'!F65</f>
        <v>0</v>
      </c>
      <c r="D82" s="30">
        <f>IF('11. Water - Capex Input'!$I65=D$3,'11. Water - Capex Input'!$G65,IF(C82&gt;1,C82-1,0))</f>
        <v>0</v>
      </c>
      <c r="E82" s="30">
        <f>IF('11. Water - Capex Input'!$I65=E$3,'11. Water - Capex Input'!$G65,IF(D82&gt;1,D82-1,0))</f>
        <v>50</v>
      </c>
      <c r="F82" s="30">
        <f>IF('11. Water - Capex Input'!$I65=F$3,'11. Water - Capex Input'!$G65,IF(E82&gt;1,E82-1,0))</f>
        <v>49</v>
      </c>
      <c r="G82" s="30">
        <f>IF('11. Water - Capex Input'!$I65=G$3,'11. Water - Capex Input'!$G65,IF(F82&gt;1,F82-1,0))</f>
        <v>48</v>
      </c>
      <c r="H82" s="30">
        <f>IF('11. Water - Capex Input'!$I65=H$3,'11. Water - Capex Input'!$G65,IF(G82&gt;1,G82-1,0))</f>
        <v>47</v>
      </c>
    </row>
    <row r="83" spans="2:8">
      <c r="B83" s="152">
        <f>'11. Water - Capex Input'!F66</f>
        <v>0</v>
      </c>
      <c r="D83" s="30">
        <f>IF('11. Water - Capex Input'!$I66=D$3,'11. Water - Capex Input'!$G66,IF(C83&gt;1,C83-1,0))</f>
        <v>0</v>
      </c>
      <c r="E83" s="30">
        <f>IF('11. Water - Capex Input'!$I66=E$3,'11. Water - Capex Input'!$G66,IF(D83&gt;1,D83-1,0))</f>
        <v>0</v>
      </c>
      <c r="F83" s="30">
        <f>IF('11. Water - Capex Input'!$I66=F$3,'11. Water - Capex Input'!$G66,IF(E83&gt;1,E83-1,0))</f>
        <v>50</v>
      </c>
      <c r="G83" s="30">
        <f>IF('11. Water - Capex Input'!$I66=G$3,'11. Water - Capex Input'!$G66,IF(F83&gt;1,F83-1,0))</f>
        <v>49</v>
      </c>
      <c r="H83" s="30">
        <f>IF('11. Water - Capex Input'!$I66=H$3,'11. Water - Capex Input'!$G66,IF(G83&gt;1,G83-1,0))</f>
        <v>48</v>
      </c>
    </row>
    <row r="84" spans="2:8">
      <c r="B84" s="152">
        <f>'11. Water - Capex Input'!F67</f>
        <v>0</v>
      </c>
      <c r="D84" s="30">
        <f>IF('11. Water - Capex Input'!$I67=D$3,'11. Water - Capex Input'!$G67,IF(C84&gt;1,C84-1,0))</f>
        <v>0</v>
      </c>
      <c r="E84" s="30">
        <f>IF('11. Water - Capex Input'!$I67=E$3,'11. Water - Capex Input'!$G67,IF(D84&gt;1,D84-1,0))</f>
        <v>0</v>
      </c>
      <c r="F84" s="30">
        <f>IF('11. Water - Capex Input'!$I67=F$3,'11. Water - Capex Input'!$G67,IF(E84&gt;1,E84-1,0))</f>
        <v>0</v>
      </c>
      <c r="G84" s="30">
        <f>IF('11. Water - Capex Input'!$I67=G$3,'11. Water - Capex Input'!$G67,IF(F84&gt;1,F84-1,0))</f>
        <v>40</v>
      </c>
      <c r="H84" s="30">
        <f>IF('11. Water - Capex Input'!$I67=H$3,'11. Water - Capex Input'!$G67,IF(G84&gt;1,G84-1,0))</f>
        <v>39</v>
      </c>
    </row>
    <row r="85" spans="2:8">
      <c r="B85" s="152">
        <f>'11. Water - Capex Input'!F68</f>
        <v>0</v>
      </c>
      <c r="D85" s="30">
        <f>IF('11. Water - Capex Input'!$I68=D$3,'11. Water - Capex Input'!$G68,IF(C85&gt;1,C85-1,0))</f>
        <v>0</v>
      </c>
      <c r="E85" s="30">
        <f>IF('11. Water - Capex Input'!$I68=E$3,'11. Water - Capex Input'!$G68,IF(D85&gt;1,D85-1,0))</f>
        <v>0</v>
      </c>
      <c r="F85" s="30">
        <f>IF('11. Water - Capex Input'!$I68=F$3,'11. Water - Capex Input'!$G68,IF(E85&gt;1,E85-1,0))</f>
        <v>0</v>
      </c>
      <c r="G85" s="30">
        <f>IF('11. Water - Capex Input'!$I68=G$3,'11. Water - Capex Input'!$G68,IF(F85&gt;1,F85-1,0))</f>
        <v>0</v>
      </c>
      <c r="H85" s="30">
        <f>IF('11. Water - Capex Input'!$I68=H$3,'11. Water - Capex Input'!$G68,IF(G85&gt;1,G85-1,0))</f>
        <v>40</v>
      </c>
    </row>
    <row r="86" spans="2:8">
      <c r="B86" s="152">
        <f>'11. Water - Capex Input'!F69</f>
        <v>0</v>
      </c>
      <c r="D86" s="30">
        <f>IF('11. Water - Capex Input'!$I69=D$3,'11. Water - Capex Input'!$G69,IF(C86&gt;1,C86-1,0))</f>
        <v>60</v>
      </c>
      <c r="E86" s="30">
        <f>IF('11. Water - Capex Input'!$I69=E$3,'11. Water - Capex Input'!$G69,IF(D86&gt;1,D86-1,0))</f>
        <v>59</v>
      </c>
      <c r="F86" s="30">
        <f>IF('11. Water - Capex Input'!$I69=F$3,'11. Water - Capex Input'!$G69,IF(E86&gt;1,E86-1,0))</f>
        <v>58</v>
      </c>
      <c r="G86" s="30">
        <f>IF('11. Water - Capex Input'!$I69=G$3,'11. Water - Capex Input'!$G69,IF(F86&gt;1,F86-1,0))</f>
        <v>57</v>
      </c>
      <c r="H86" s="30">
        <f>IF('11. Water - Capex Input'!$I69=H$3,'11. Water - Capex Input'!$G69,IF(G86&gt;1,G86-1,0))</f>
        <v>56</v>
      </c>
    </row>
    <row r="87" spans="2:8">
      <c r="B87" s="152">
        <f>'11. Water - Capex Input'!F70</f>
        <v>0</v>
      </c>
      <c r="D87" s="30">
        <f>IF('11. Water - Capex Input'!$I70=D$3,'11. Water - Capex Input'!$G70,IF(C87&gt;1,C87-1,0))</f>
        <v>0</v>
      </c>
      <c r="E87" s="30">
        <f>IF('11. Water - Capex Input'!$I70=E$3,'11. Water - Capex Input'!$G70,IF(D87&gt;1,D87-1,0))</f>
        <v>60</v>
      </c>
      <c r="F87" s="30">
        <f>IF('11. Water - Capex Input'!$I70=F$3,'11. Water - Capex Input'!$G70,IF(E87&gt;1,E87-1,0))</f>
        <v>59</v>
      </c>
      <c r="G87" s="30">
        <f>IF('11. Water - Capex Input'!$I70=G$3,'11. Water - Capex Input'!$G70,IF(F87&gt;1,F87-1,0))</f>
        <v>58</v>
      </c>
      <c r="H87" s="30">
        <f>IF('11. Water - Capex Input'!$I70=H$3,'11. Water - Capex Input'!$G70,IF(G87&gt;1,G87-1,0))</f>
        <v>57</v>
      </c>
    </row>
    <row r="88" spans="2:8">
      <c r="B88" s="152">
        <f>'11. Water - Capex Input'!F71</f>
        <v>0</v>
      </c>
      <c r="D88" s="30">
        <f>IF('11. Water - Capex Input'!$I71=D$3,'11. Water - Capex Input'!$G71,IF(C88&gt;1,C88-1,0))</f>
        <v>0</v>
      </c>
      <c r="E88" s="30">
        <f>IF('11. Water - Capex Input'!$I71=E$3,'11. Water - Capex Input'!$G71,IF(D88&gt;1,D88-1,0))</f>
        <v>0</v>
      </c>
      <c r="F88" s="30">
        <f>IF('11. Water - Capex Input'!$I71=F$3,'11. Water - Capex Input'!$G71,IF(E88&gt;1,E88-1,0))</f>
        <v>60</v>
      </c>
      <c r="G88" s="30">
        <f>IF('11. Water - Capex Input'!$I71=G$3,'11. Water - Capex Input'!$G71,IF(F88&gt;1,F88-1,0))</f>
        <v>59</v>
      </c>
      <c r="H88" s="30">
        <f>IF('11. Water - Capex Input'!$I71=H$3,'11. Water - Capex Input'!$G71,IF(G88&gt;1,G88-1,0))</f>
        <v>58</v>
      </c>
    </row>
    <row r="89" spans="2:8">
      <c r="B89" s="152">
        <f>'11. Water - Capex Input'!F72</f>
        <v>0</v>
      </c>
      <c r="D89" s="30">
        <f>IF('11. Water - Capex Input'!$I72=D$3,'11. Water - Capex Input'!$G72,IF(C89&gt;1,C89-1,0))</f>
        <v>0</v>
      </c>
      <c r="E89" s="30">
        <f>IF('11. Water - Capex Input'!$I72=E$3,'11. Water - Capex Input'!$G72,IF(D89&gt;1,D89-1,0))</f>
        <v>0</v>
      </c>
      <c r="F89" s="30">
        <f>IF('11. Water - Capex Input'!$I72=F$3,'11. Water - Capex Input'!$G72,IF(E89&gt;1,E89-1,0))</f>
        <v>0</v>
      </c>
      <c r="G89" s="30">
        <f>IF('11. Water - Capex Input'!$I72=G$3,'11. Water - Capex Input'!$G72,IF(F89&gt;1,F89-1,0))</f>
        <v>60</v>
      </c>
      <c r="H89" s="30">
        <f>IF('11. Water - Capex Input'!$I72=H$3,'11. Water - Capex Input'!$G72,IF(G89&gt;1,G89-1,0))</f>
        <v>59</v>
      </c>
    </row>
    <row r="90" spans="2:8">
      <c r="B90" s="152">
        <f>'11. Water - Capex Input'!F73</f>
        <v>0</v>
      </c>
      <c r="D90" s="30">
        <f>IF('11. Water - Capex Input'!$I73=D$3,'11. Water - Capex Input'!$G73,IF(C90&gt;1,C90-1,0))</f>
        <v>0</v>
      </c>
      <c r="E90" s="30">
        <f>IF('11. Water - Capex Input'!$I73=E$3,'11. Water - Capex Input'!$G73,IF(D90&gt;1,D90-1,0))</f>
        <v>0</v>
      </c>
      <c r="F90" s="30">
        <f>IF('11. Water - Capex Input'!$I73=F$3,'11. Water - Capex Input'!$G73,IF(E90&gt;1,E90-1,0))</f>
        <v>0</v>
      </c>
      <c r="G90" s="30">
        <f>IF('11. Water - Capex Input'!$I73=G$3,'11. Water - Capex Input'!$G73,IF(F90&gt;1,F90-1,0))</f>
        <v>0</v>
      </c>
      <c r="H90" s="30">
        <f>IF('11. Water - Capex Input'!$I73=H$3,'11. Water - Capex Input'!$G73,IF(G90&gt;1,G90-1,0))</f>
        <v>60</v>
      </c>
    </row>
    <row r="91" spans="2:8">
      <c r="B91" s="152">
        <f>'11. Water - Capex Input'!F74</f>
        <v>0</v>
      </c>
      <c r="D91" s="30">
        <f>IF('11. Water - Capex Input'!$I74=D$3,'11. Water - Capex Input'!$G74,IF(C91&gt;1,C91-1,0))</f>
        <v>80</v>
      </c>
      <c r="E91" s="30">
        <f>IF('11. Water - Capex Input'!$I74=E$3,'11. Water - Capex Input'!$G74,IF(D91&gt;1,D91-1,0))</f>
        <v>79</v>
      </c>
      <c r="F91" s="30">
        <f>IF('11. Water - Capex Input'!$I74=F$3,'11. Water - Capex Input'!$G74,IF(E91&gt;1,E91-1,0))</f>
        <v>78</v>
      </c>
      <c r="G91" s="30">
        <f>IF('11. Water - Capex Input'!$I74=G$3,'11. Water - Capex Input'!$G74,IF(F91&gt;1,F91-1,0))</f>
        <v>77</v>
      </c>
      <c r="H91" s="30">
        <f>IF('11. Water - Capex Input'!$I74=H$3,'11. Water - Capex Input'!$G74,IF(G91&gt;1,G91-1,0))</f>
        <v>76</v>
      </c>
    </row>
    <row r="92" spans="2:8">
      <c r="B92" s="152">
        <f>'11. Water - Capex Input'!F75</f>
        <v>0</v>
      </c>
      <c r="D92" s="30">
        <f>IF('11. Water - Capex Input'!$I75=D$3,'11. Water - Capex Input'!$G75,IF(C92&gt;1,C92-1,0))</f>
        <v>0</v>
      </c>
      <c r="E92" s="30">
        <f>IF('11. Water - Capex Input'!$I75=E$3,'11. Water - Capex Input'!$G75,IF(D92&gt;1,D92-1,0))</f>
        <v>80</v>
      </c>
      <c r="F92" s="30">
        <f>IF('11. Water - Capex Input'!$I75=F$3,'11. Water - Capex Input'!$G75,IF(E92&gt;1,E92-1,0))</f>
        <v>79</v>
      </c>
      <c r="G92" s="30">
        <f>IF('11. Water - Capex Input'!$I75=G$3,'11. Water - Capex Input'!$G75,IF(F92&gt;1,F92-1,0))</f>
        <v>78</v>
      </c>
      <c r="H92" s="30">
        <f>IF('11. Water - Capex Input'!$I75=H$3,'11. Water - Capex Input'!$G75,IF(G92&gt;1,G92-1,0))</f>
        <v>77</v>
      </c>
    </row>
    <row r="93" spans="2:8">
      <c r="B93" s="152">
        <f>'11. Water - Capex Input'!F76</f>
        <v>0</v>
      </c>
      <c r="D93" s="30">
        <f>IF('11. Water - Capex Input'!$I76=D$3,'11. Water - Capex Input'!$G76,IF(C93&gt;1,C93-1,0))</f>
        <v>0</v>
      </c>
      <c r="E93" s="30">
        <f>IF('11. Water - Capex Input'!$I76=E$3,'11. Water - Capex Input'!$G76,IF(D93&gt;1,D93-1,0))</f>
        <v>0</v>
      </c>
      <c r="F93" s="30">
        <f>IF('11. Water - Capex Input'!$I76=F$3,'11. Water - Capex Input'!$G76,IF(E93&gt;1,E93-1,0))</f>
        <v>60</v>
      </c>
      <c r="G93" s="30">
        <f>IF('11. Water - Capex Input'!$I76=G$3,'11. Water - Capex Input'!$G76,IF(F93&gt;1,F93-1,0))</f>
        <v>59</v>
      </c>
      <c r="H93" s="30">
        <f>IF('11. Water - Capex Input'!$I76=H$3,'11. Water - Capex Input'!$G76,IF(G93&gt;1,G93-1,0))</f>
        <v>58</v>
      </c>
    </row>
    <row r="94" spans="2:8">
      <c r="B94" s="152">
        <f>'11. Water - Capex Input'!F77</f>
        <v>0</v>
      </c>
      <c r="D94" s="30">
        <f>IF('11. Water - Capex Input'!$I77=D$3,'11. Water - Capex Input'!$G77,IF(C94&gt;1,C94-1,0))</f>
        <v>0</v>
      </c>
      <c r="E94" s="30">
        <f>IF('11. Water - Capex Input'!$I77=E$3,'11. Water - Capex Input'!$G77,IF(D94&gt;1,D94-1,0))</f>
        <v>0</v>
      </c>
      <c r="F94" s="30">
        <f>IF('11. Water - Capex Input'!$I77=F$3,'11. Water - Capex Input'!$G77,IF(E94&gt;1,E94-1,0))</f>
        <v>0</v>
      </c>
      <c r="G94" s="30">
        <f>IF('11. Water - Capex Input'!$I77=G$3,'11. Water - Capex Input'!$G77,IF(F94&gt;1,F94-1,0))</f>
        <v>60</v>
      </c>
      <c r="H94" s="30">
        <f>IF('11. Water - Capex Input'!$I77=H$3,'11. Water - Capex Input'!$G77,IF(G94&gt;1,G94-1,0))</f>
        <v>59</v>
      </c>
    </row>
    <row r="95" spans="2:8">
      <c r="B95" s="152">
        <f>'11. Water - Capex Input'!F78</f>
        <v>0</v>
      </c>
      <c r="D95" s="30">
        <f>IF('11. Water - Capex Input'!$I78=D$3,'11. Water - Capex Input'!$G78,IF(C95&gt;1,C95-1,0))</f>
        <v>0</v>
      </c>
      <c r="E95" s="30">
        <f>IF('11. Water - Capex Input'!$I78=E$3,'11. Water - Capex Input'!$G78,IF(D95&gt;1,D95-1,0))</f>
        <v>0</v>
      </c>
      <c r="F95" s="30">
        <f>IF('11. Water - Capex Input'!$I78=F$3,'11. Water - Capex Input'!$G78,IF(E95&gt;1,E95-1,0))</f>
        <v>0</v>
      </c>
      <c r="G95" s="30">
        <f>IF('11. Water - Capex Input'!$I78=G$3,'11. Water - Capex Input'!$G78,IF(F95&gt;1,F95-1,0))</f>
        <v>40</v>
      </c>
      <c r="H95" s="30">
        <f>IF('11. Water - Capex Input'!$I78=H$3,'11. Water - Capex Input'!$G78,IF(G95&gt;1,G95-1,0))</f>
        <v>39</v>
      </c>
    </row>
    <row r="96" spans="2:8">
      <c r="B96" s="152">
        <f>'11. Water - Capex Input'!F79</f>
        <v>0</v>
      </c>
      <c r="D96" s="30">
        <f>IF('11. Water - Capex Input'!$I79=D$3,'11. Water - Capex Input'!$G79,IF(C96&gt;1,C96-1,0))</f>
        <v>0</v>
      </c>
      <c r="E96" s="30">
        <f>IF('11. Water - Capex Input'!$I79=E$3,'11. Water - Capex Input'!$G79,IF(D96&gt;1,D96-1,0))</f>
        <v>0</v>
      </c>
      <c r="F96" s="30">
        <f>IF('11. Water - Capex Input'!$I79=F$3,'11. Water - Capex Input'!$G79,IF(E96&gt;1,E96-1,0))</f>
        <v>0</v>
      </c>
      <c r="G96" s="30">
        <f>IF('11. Water - Capex Input'!$I79=G$3,'11. Water - Capex Input'!$G79,IF(F96&gt;1,F96-1,0))</f>
        <v>0</v>
      </c>
      <c r="H96" s="30">
        <f>IF('11. Water - Capex Input'!$I79=H$3,'11. Water - Capex Input'!$G79,IF(G96&gt;1,G96-1,0))</f>
        <v>40</v>
      </c>
    </row>
    <row r="97" spans="2:8">
      <c r="B97" s="152">
        <f>'11. Water - Capex Input'!F80</f>
        <v>0</v>
      </c>
      <c r="D97" s="30">
        <f>IF('11. Water - Capex Input'!$I80=D$3,'11. Water - Capex Input'!$G80,IF(C97&gt;1,C97-1,0))</f>
        <v>40</v>
      </c>
      <c r="E97" s="30">
        <f>IF('11. Water - Capex Input'!$I80=E$3,'11. Water - Capex Input'!$G80,IF(D97&gt;1,D97-1,0))</f>
        <v>39</v>
      </c>
      <c r="F97" s="30">
        <f>IF('11. Water - Capex Input'!$I80=F$3,'11. Water - Capex Input'!$G80,IF(E97&gt;1,E97-1,0))</f>
        <v>38</v>
      </c>
      <c r="G97" s="30">
        <f>IF('11. Water - Capex Input'!$I80=G$3,'11. Water - Capex Input'!$G80,IF(F97&gt;1,F97-1,0))</f>
        <v>37</v>
      </c>
      <c r="H97" s="30">
        <f>IF('11. Water - Capex Input'!$I80=H$3,'11. Water - Capex Input'!$G80,IF(G97&gt;1,G97-1,0))</f>
        <v>36</v>
      </c>
    </row>
    <row r="98" spans="2:8">
      <c r="B98" s="152">
        <f>'11. Water - Capex Input'!F81</f>
        <v>0</v>
      </c>
      <c r="D98" s="30">
        <f>IF('11. Water - Capex Input'!$I81=D$3,'11. Water - Capex Input'!$G81,IF(C98&gt;1,C98-1,0))</f>
        <v>0</v>
      </c>
      <c r="E98" s="30">
        <f>IF('11. Water - Capex Input'!$I81=E$3,'11. Water - Capex Input'!$G81,IF(D98&gt;1,D98-1,0))</f>
        <v>40</v>
      </c>
      <c r="F98" s="30">
        <f>IF('11. Water - Capex Input'!$I81=F$3,'11. Water - Capex Input'!$G81,IF(E98&gt;1,E98-1,0))</f>
        <v>39</v>
      </c>
      <c r="G98" s="30">
        <f>IF('11. Water - Capex Input'!$I81=G$3,'11. Water - Capex Input'!$G81,IF(F98&gt;1,F98-1,0))</f>
        <v>38</v>
      </c>
      <c r="H98" s="30">
        <f>IF('11. Water - Capex Input'!$I81=H$3,'11. Water - Capex Input'!$G81,IF(G98&gt;1,G98-1,0))</f>
        <v>37</v>
      </c>
    </row>
    <row r="99" spans="2:8">
      <c r="B99" s="152">
        <f>'11. Water - Capex Input'!F82</f>
        <v>0</v>
      </c>
      <c r="D99" s="30">
        <f>IF('11. Water - Capex Input'!$I82=D$3,'11. Water - Capex Input'!$G82,IF(C99&gt;1,C99-1,0))</f>
        <v>0</v>
      </c>
      <c r="E99" s="30">
        <f>IF('11. Water - Capex Input'!$I82=E$3,'11. Water - Capex Input'!$G82,IF(D99&gt;1,D99-1,0))</f>
        <v>0</v>
      </c>
      <c r="F99" s="30">
        <f>IF('11. Water - Capex Input'!$I82=F$3,'11. Water - Capex Input'!$G82,IF(E99&gt;1,E99-1,0))</f>
        <v>0</v>
      </c>
      <c r="G99" s="30">
        <f>IF('11. Water - Capex Input'!$I82=G$3,'11. Water - Capex Input'!$G82,IF(F99&gt;1,F99-1,0))</f>
        <v>40</v>
      </c>
      <c r="H99" s="30">
        <f>IF('11. Water - Capex Input'!$I82=H$3,'11. Water - Capex Input'!$G82,IF(G99&gt;1,G99-1,0))</f>
        <v>39</v>
      </c>
    </row>
    <row r="100" spans="2:8">
      <c r="B100" s="152">
        <f>'11. Water - Capex Input'!F83</f>
        <v>0</v>
      </c>
      <c r="D100" s="30">
        <f>IF('11. Water - Capex Input'!$I83=D$3,'11. Water - Capex Input'!$G83,IF(C100&gt;1,C100-1,0))</f>
        <v>0</v>
      </c>
      <c r="E100" s="30">
        <f>IF('11. Water - Capex Input'!$I83=E$3,'11. Water - Capex Input'!$G83,IF(D100&gt;1,D100-1,0))</f>
        <v>0</v>
      </c>
      <c r="F100" s="30">
        <f>IF('11. Water - Capex Input'!$I83=F$3,'11. Water - Capex Input'!$G83,IF(E100&gt;1,E100-1,0))</f>
        <v>0</v>
      </c>
      <c r="G100" s="30">
        <f>IF('11. Water - Capex Input'!$I83=G$3,'11. Water - Capex Input'!$G83,IF(F100&gt;1,F100-1,0))</f>
        <v>0</v>
      </c>
      <c r="H100" s="30">
        <f>IF('11. Water - Capex Input'!$I83=H$3,'11. Water - Capex Input'!$G83,IF(G100&gt;1,G100-1,0))</f>
        <v>40</v>
      </c>
    </row>
    <row r="101" spans="2:8">
      <c r="B101" s="152">
        <f>'11. Water - Capex Input'!F84</f>
        <v>0</v>
      </c>
      <c r="D101" s="30">
        <f>IF('11. Water - Capex Input'!$I84=D$3,'11. Water - Capex Input'!$G84,IF(C101&gt;1,C101-1,0))</f>
        <v>0</v>
      </c>
      <c r="E101" s="30">
        <f>IF('11. Water - Capex Input'!$I84=E$3,'11. Water - Capex Input'!$G84,IF(D101&gt;1,D101-1,0))</f>
        <v>0</v>
      </c>
      <c r="F101" s="30">
        <f>IF('11. Water - Capex Input'!$I84=F$3,'11. Water - Capex Input'!$G84,IF(E101&gt;1,E101-1,0))</f>
        <v>0</v>
      </c>
      <c r="G101" s="30">
        <f>IF('11. Water - Capex Input'!$I84=G$3,'11. Water - Capex Input'!$G84,IF(F101&gt;1,F101-1,0))</f>
        <v>50</v>
      </c>
      <c r="H101" s="30">
        <f>IF('11. Water - Capex Input'!$I84=H$3,'11. Water - Capex Input'!$G84,IF(G101&gt;1,G101-1,0))</f>
        <v>49</v>
      </c>
    </row>
    <row r="102" spans="2:8">
      <c r="B102" s="152">
        <f>'11. Water - Capex Input'!F85</f>
        <v>0</v>
      </c>
      <c r="D102" s="30">
        <f>IF('11. Water - Capex Input'!$I85=D$3,'11. Water - Capex Input'!$G85,IF(C102&gt;1,C102-1,0))</f>
        <v>0</v>
      </c>
      <c r="E102" s="30">
        <f>IF('11. Water - Capex Input'!$I85=E$3,'11. Water - Capex Input'!$G85,IF(D102&gt;1,D102-1,0))</f>
        <v>0</v>
      </c>
      <c r="F102" s="30">
        <f>IF('11. Water - Capex Input'!$I85=F$3,'11. Water - Capex Input'!$G85,IF(E102&gt;1,E102-1,0))</f>
        <v>0</v>
      </c>
      <c r="G102" s="30">
        <f>IF('11. Water - Capex Input'!$I85=G$3,'11. Water - Capex Input'!$G85,IF(F102&gt;1,F102-1,0))</f>
        <v>0</v>
      </c>
      <c r="H102" s="30">
        <f>IF('11. Water - Capex Input'!$I85=H$3,'11. Water - Capex Input'!$G85,IF(G102&gt;1,G102-1,0))</f>
        <v>50</v>
      </c>
    </row>
    <row r="103" spans="2:8">
      <c r="B103" s="152">
        <f>'11. Water - Capex Input'!F86</f>
        <v>0</v>
      </c>
      <c r="D103" s="30">
        <f>IF('11. Water - Capex Input'!$I86=D$3,'11. Water - Capex Input'!$G86,IF(C103&gt;1,C103-1,0))</f>
        <v>0</v>
      </c>
      <c r="E103" s="30">
        <f>IF('11. Water - Capex Input'!$I86=E$3,'11. Water - Capex Input'!$G86,IF(D103&gt;1,D103-1,0))</f>
        <v>0</v>
      </c>
      <c r="F103" s="30">
        <f>IF('11. Water - Capex Input'!$I86=F$3,'11. Water - Capex Input'!$G86,IF(E103&gt;1,E103-1,0))</f>
        <v>0</v>
      </c>
      <c r="G103" s="30">
        <f>IF('11. Water - Capex Input'!$I86=G$3,'11. Water - Capex Input'!$G86,IF(F103&gt;1,F103-1,0))</f>
        <v>80</v>
      </c>
      <c r="H103" s="30">
        <f>IF('11. Water - Capex Input'!$I86=H$3,'11. Water - Capex Input'!$G86,IF(G103&gt;1,G103-1,0))</f>
        <v>79</v>
      </c>
    </row>
    <row r="104" spans="2:8">
      <c r="B104" s="152">
        <f>'11. Water - Capex Input'!F87</f>
        <v>0</v>
      </c>
      <c r="D104" s="30">
        <f>IF('11. Water - Capex Input'!$I87=D$3,'11. Water - Capex Input'!$G87,IF(C104&gt;1,C104-1,0))</f>
        <v>0</v>
      </c>
      <c r="E104" s="30">
        <f>IF('11. Water - Capex Input'!$I87=E$3,'11. Water - Capex Input'!$G87,IF(D104&gt;1,D104-1,0))</f>
        <v>0</v>
      </c>
      <c r="F104" s="30">
        <f>IF('11. Water - Capex Input'!$I87=F$3,'11. Water - Capex Input'!$G87,IF(E104&gt;1,E104-1,0))</f>
        <v>0</v>
      </c>
      <c r="G104" s="30">
        <f>IF('11. Water - Capex Input'!$I87=G$3,'11. Water - Capex Input'!$G87,IF(F104&gt;1,F104-1,0))</f>
        <v>0</v>
      </c>
      <c r="H104" s="30">
        <f>IF('11. Water - Capex Input'!$I87=H$3,'11. Water - Capex Input'!$G87,IF(G104&gt;1,G104-1,0))</f>
        <v>80</v>
      </c>
    </row>
    <row r="105" spans="2:8">
      <c r="B105" s="152">
        <f>'11. Water - Capex Input'!F88</f>
        <v>0</v>
      </c>
      <c r="D105" s="30">
        <f>IF('11. Water - Capex Input'!$I88=D$3,'11. Water - Capex Input'!$G88,IF(C105&gt;1,C105-1,0))</f>
        <v>0</v>
      </c>
      <c r="E105" s="30">
        <f>IF('11. Water - Capex Input'!$I88=E$3,'11. Water - Capex Input'!$G88,IF(D105&gt;1,D105-1,0))</f>
        <v>0</v>
      </c>
      <c r="F105" s="30">
        <f>IF('11. Water - Capex Input'!$I88=F$3,'11. Water - Capex Input'!$G88,IF(E105&gt;1,E105-1,0))</f>
        <v>40</v>
      </c>
      <c r="G105" s="30">
        <f>IF('11. Water - Capex Input'!$I88=G$3,'11. Water - Capex Input'!$G88,IF(F105&gt;1,F105-1,0))</f>
        <v>39</v>
      </c>
      <c r="H105" s="30">
        <f>IF('11. Water - Capex Input'!$I88=H$3,'11. Water - Capex Input'!$G88,IF(G105&gt;1,G105-1,0))</f>
        <v>38</v>
      </c>
    </row>
    <row r="106" spans="2:8">
      <c r="B106" s="152">
        <f>'11. Water - Capex Input'!F89</f>
        <v>0</v>
      </c>
      <c r="D106" s="30">
        <f>IF('11. Water - Capex Input'!$I89=D$3,'11. Water - Capex Input'!$G89,IF(C106&gt;1,C106-1,0))</f>
        <v>0</v>
      </c>
      <c r="E106" s="30">
        <f>IF('11. Water - Capex Input'!$I89=E$3,'11. Water - Capex Input'!$G89,IF(D106&gt;1,D106-1,0))</f>
        <v>0</v>
      </c>
      <c r="F106" s="30">
        <f>IF('11. Water - Capex Input'!$I89=F$3,'11. Water - Capex Input'!$G89,IF(E106&gt;1,E106-1,0))</f>
        <v>0</v>
      </c>
      <c r="G106" s="30">
        <f>IF('11. Water - Capex Input'!$I89=G$3,'11. Water - Capex Input'!$G89,IF(F106&gt;1,F106-1,0))</f>
        <v>40</v>
      </c>
      <c r="H106" s="30">
        <f>IF('11. Water - Capex Input'!$I89=H$3,'11. Water - Capex Input'!$G89,IF(G106&gt;1,G106-1,0))</f>
        <v>39</v>
      </c>
    </row>
    <row r="107" spans="2:8">
      <c r="B107" s="152">
        <f>'11. Water - Capex Input'!F90</f>
        <v>0</v>
      </c>
      <c r="D107" s="30">
        <f>IF('11. Water - Capex Input'!$I90=D$3,'11. Water - Capex Input'!$G90,IF(C107&gt;1,C107-1,0))</f>
        <v>0</v>
      </c>
      <c r="E107" s="30">
        <f>IF('11. Water - Capex Input'!$I90=E$3,'11. Water - Capex Input'!$G90,IF(D107&gt;1,D107-1,0))</f>
        <v>0</v>
      </c>
      <c r="F107" s="30">
        <f>IF('11. Water - Capex Input'!$I90=F$3,'11. Water - Capex Input'!$G90,IF(E107&gt;1,E107-1,0))</f>
        <v>0</v>
      </c>
      <c r="G107" s="30">
        <f>IF('11. Water - Capex Input'!$I90=G$3,'11. Water - Capex Input'!$G90,IF(F107&gt;1,F107-1,0))</f>
        <v>0</v>
      </c>
      <c r="H107" s="30">
        <f>IF('11. Water - Capex Input'!$I90=H$3,'11. Water - Capex Input'!$G90,IF(G107&gt;1,G107-1,0))</f>
        <v>40</v>
      </c>
    </row>
    <row r="108" spans="2:8">
      <c r="B108" s="152">
        <f>'11. Water - Capex Input'!F91</f>
        <v>0</v>
      </c>
      <c r="D108" s="30">
        <f>IF('11. Water - Capex Input'!$I91=D$3,'11. Water - Capex Input'!$G91,IF(C108&gt;1,C108-1,0))</f>
        <v>0</v>
      </c>
      <c r="E108" s="30">
        <f>IF('11. Water - Capex Input'!$I91=E$3,'11. Water - Capex Input'!$G91,IF(D108&gt;1,D108-1,0))</f>
        <v>0</v>
      </c>
      <c r="F108" s="30">
        <f>IF('11. Water - Capex Input'!$I91=F$3,'11. Water - Capex Input'!$G91,IF(E108&gt;1,E108-1,0))</f>
        <v>0</v>
      </c>
      <c r="G108" s="30">
        <f>IF('11. Water - Capex Input'!$I91=G$3,'11. Water - Capex Input'!$G91,IF(F108&gt;1,F108-1,0))</f>
        <v>0</v>
      </c>
      <c r="H108" s="30">
        <f>IF('11. Water - Capex Input'!$I91=H$3,'11. Water - Capex Input'!$G91,IF(G108&gt;1,G108-1,0))</f>
        <v>40</v>
      </c>
    </row>
    <row r="109" spans="2:8">
      <c r="B109" s="152">
        <f>'11. Water - Capex Input'!F92</f>
        <v>0</v>
      </c>
      <c r="D109" s="30">
        <f>IF('11. Water - Capex Input'!$I92=D$3,'11. Water - Capex Input'!$G92,IF(C109&gt;1,C109-1,0))</f>
        <v>0</v>
      </c>
      <c r="E109" s="30">
        <f>IF('11. Water - Capex Input'!$I92=E$3,'11. Water - Capex Input'!$G92,IF(D109&gt;1,D109-1,0))</f>
        <v>0</v>
      </c>
      <c r="F109" s="30">
        <f>IF('11. Water - Capex Input'!$I92=F$3,'11. Water - Capex Input'!$G92,IF(E109&gt;1,E109-1,0))</f>
        <v>0</v>
      </c>
      <c r="G109" s="30">
        <f>IF('11. Water - Capex Input'!$I92=G$3,'11. Water - Capex Input'!$G92,IF(F109&gt;1,F109-1,0))</f>
        <v>0</v>
      </c>
      <c r="H109" s="30">
        <f>IF('11. Water - Capex Input'!$I92=H$3,'11. Water - Capex Input'!$G92,IF(G109&gt;1,G109-1,0))</f>
        <v>60</v>
      </c>
    </row>
    <row r="110" spans="2:8">
      <c r="B110" s="152">
        <f>'11. Water - Capex Input'!F93</f>
        <v>0</v>
      </c>
      <c r="D110" s="30">
        <f>IF('11. Water - Capex Input'!$I93=D$3,'11. Water - Capex Input'!$G93,IF(C110&gt;1,C110-1,0))</f>
        <v>0</v>
      </c>
      <c r="E110" s="30">
        <f>IF('11. Water - Capex Input'!$I93=E$3,'11. Water - Capex Input'!$G93,IF(D110&gt;1,D110-1,0))</f>
        <v>0</v>
      </c>
      <c r="F110" s="30">
        <f>IF('11. Water - Capex Input'!$I93=F$3,'11. Water - Capex Input'!$G93,IF(E110&gt;1,E110-1,0))</f>
        <v>0</v>
      </c>
      <c r="G110" s="30">
        <f>IF('11. Water - Capex Input'!$I93=G$3,'11. Water - Capex Input'!$G93,IF(F110&gt;1,F110-1,0))</f>
        <v>40</v>
      </c>
      <c r="H110" s="30">
        <f>IF('11. Water - Capex Input'!$I93=H$3,'11. Water - Capex Input'!$G93,IF(G110&gt;1,G110-1,0))</f>
        <v>39</v>
      </c>
    </row>
    <row r="111" spans="2:8">
      <c r="B111" s="152">
        <f>'11. Water - Capex Input'!F94</f>
        <v>0</v>
      </c>
      <c r="D111" s="30">
        <f>IF('11. Water - Capex Input'!$I94=D$3,'11. Water - Capex Input'!$G94,IF(C111&gt;1,C111-1,0))</f>
        <v>0</v>
      </c>
      <c r="E111" s="30">
        <f>IF('11. Water - Capex Input'!$I94=E$3,'11. Water - Capex Input'!$G94,IF(D111&gt;1,D111-1,0))</f>
        <v>0</v>
      </c>
      <c r="F111" s="30">
        <f>IF('11. Water - Capex Input'!$I94=F$3,'11. Water - Capex Input'!$G94,IF(E111&gt;1,E111-1,0))</f>
        <v>0</v>
      </c>
      <c r="G111" s="30">
        <f>IF('11. Water - Capex Input'!$I94=G$3,'11. Water - Capex Input'!$G94,IF(F111&gt;1,F111-1,0))</f>
        <v>0</v>
      </c>
      <c r="H111" s="30">
        <f>IF('11. Water - Capex Input'!$I94=H$3,'11. Water - Capex Input'!$G94,IF(G111&gt;1,G111-1,0))</f>
        <v>40</v>
      </c>
    </row>
    <row r="112" spans="2:8">
      <c r="B112" s="152">
        <f>'11. Water - Capex Input'!F95</f>
        <v>0</v>
      </c>
      <c r="D112" s="30">
        <f>IF('11. Water - Capex Input'!$I95=D$3,'11. Water - Capex Input'!$G95,IF(C112&gt;1,C112-1,0))</f>
        <v>0</v>
      </c>
      <c r="E112" s="30">
        <f>IF('11. Water - Capex Input'!$I95=E$3,'11. Water - Capex Input'!$G95,IF(D112&gt;1,D112-1,0))</f>
        <v>0</v>
      </c>
      <c r="F112" s="30">
        <f>IF('11. Water - Capex Input'!$I95=F$3,'11. Water - Capex Input'!$G95,IF(E112&gt;1,E112-1,0))</f>
        <v>0</v>
      </c>
      <c r="G112" s="30">
        <f>IF('11. Water - Capex Input'!$I95=G$3,'11. Water - Capex Input'!$G95,IF(F112&gt;1,F112-1,0))</f>
        <v>30</v>
      </c>
      <c r="H112" s="30">
        <f>IF('11. Water - Capex Input'!$I95=H$3,'11. Water - Capex Input'!$G95,IF(G112&gt;1,G112-1,0))</f>
        <v>29</v>
      </c>
    </row>
    <row r="113" spans="2:8">
      <c r="B113" s="152">
        <f>'11. Water - Capex Input'!F96</f>
        <v>0</v>
      </c>
      <c r="D113" s="30">
        <f>IF('11. Water - Capex Input'!$I96=D$3,'11. Water - Capex Input'!$G96,IF(C113&gt;1,C113-1,0))</f>
        <v>60</v>
      </c>
      <c r="E113" s="30">
        <f>IF('11. Water - Capex Input'!$I96=E$3,'11. Water - Capex Input'!$G96,IF(D113&gt;1,D113-1,0))</f>
        <v>59</v>
      </c>
      <c r="F113" s="30">
        <f>IF('11. Water - Capex Input'!$I96=F$3,'11. Water - Capex Input'!$G96,IF(E113&gt;1,E113-1,0))</f>
        <v>58</v>
      </c>
      <c r="G113" s="30">
        <f>IF('11. Water - Capex Input'!$I96=G$3,'11. Water - Capex Input'!$G96,IF(F113&gt;1,F113-1,0))</f>
        <v>57</v>
      </c>
      <c r="H113" s="30">
        <f>IF('11. Water - Capex Input'!$I96=H$3,'11. Water - Capex Input'!$G96,IF(G113&gt;1,G113-1,0))</f>
        <v>56</v>
      </c>
    </row>
    <row r="114" spans="2:8">
      <c r="B114" s="152">
        <f>'11. Water - Capex Input'!F97</f>
        <v>0</v>
      </c>
      <c r="D114" s="30">
        <f>IF('11. Water - Capex Input'!$I97=D$3,'11. Water - Capex Input'!$G97,IF(C114&gt;1,C114-1,0))</f>
        <v>0</v>
      </c>
      <c r="E114" s="30">
        <f>IF('11. Water - Capex Input'!$I97=E$3,'11. Water - Capex Input'!$G97,IF(D114&gt;1,D114-1,0))</f>
        <v>0</v>
      </c>
      <c r="F114" s="30">
        <f>IF('11. Water - Capex Input'!$I97=F$3,'11. Water - Capex Input'!$G97,IF(E114&gt;1,E114-1,0))</f>
        <v>40</v>
      </c>
      <c r="G114" s="30">
        <f>IF('11. Water - Capex Input'!$I97=G$3,'11. Water - Capex Input'!$G97,IF(F114&gt;1,F114-1,0))</f>
        <v>39</v>
      </c>
      <c r="H114" s="30">
        <f>IF('11. Water - Capex Input'!$I97=H$3,'11. Water - Capex Input'!$G97,IF(G114&gt;1,G114-1,0))</f>
        <v>38</v>
      </c>
    </row>
    <row r="115" spans="2:8">
      <c r="B115" s="152">
        <f>'11. Water - Capex Input'!F98</f>
        <v>0</v>
      </c>
      <c r="D115" s="30">
        <f>IF('11. Water - Capex Input'!$I98=D$3,'11. Water - Capex Input'!$G98,IF(C115&gt;1,C115-1,0))</f>
        <v>0</v>
      </c>
      <c r="E115" s="30">
        <f>IF('11. Water - Capex Input'!$I98=E$3,'11. Water - Capex Input'!$G98,IF(D115&gt;1,D115-1,0))</f>
        <v>0</v>
      </c>
      <c r="F115" s="30">
        <f>IF('11. Water - Capex Input'!$I98=F$3,'11. Water - Capex Input'!$G98,IF(E115&gt;1,E115-1,0))</f>
        <v>0</v>
      </c>
      <c r="G115" s="30">
        <f>IF('11. Water - Capex Input'!$I98=G$3,'11. Water - Capex Input'!$G98,IF(F115&gt;1,F115-1,0))</f>
        <v>40</v>
      </c>
      <c r="H115" s="30">
        <f>IF('11. Water - Capex Input'!$I98=H$3,'11. Water - Capex Input'!$G98,IF(G115&gt;1,G115-1,0))</f>
        <v>39</v>
      </c>
    </row>
    <row r="116" spans="2:8">
      <c r="B116" s="152">
        <f>'11. Water - Capex Input'!F99</f>
        <v>0</v>
      </c>
      <c r="D116" s="30">
        <f>IF('11. Water - Capex Input'!$I99=D$3,'11. Water - Capex Input'!$G99,IF(C116&gt;1,C116-1,0))</f>
        <v>0</v>
      </c>
      <c r="E116" s="30">
        <f>IF('11. Water - Capex Input'!$I99=E$3,'11. Water - Capex Input'!$G99,IF(D116&gt;1,D116-1,0))</f>
        <v>0</v>
      </c>
      <c r="F116" s="30">
        <f>IF('11. Water - Capex Input'!$I99=F$3,'11. Water - Capex Input'!$G99,IF(E116&gt;1,E116-1,0))</f>
        <v>0</v>
      </c>
      <c r="G116" s="30">
        <f>IF('11. Water - Capex Input'!$I99=G$3,'11. Water - Capex Input'!$G99,IF(F116&gt;1,F116-1,0))</f>
        <v>0</v>
      </c>
      <c r="H116" s="30">
        <f>IF('11. Water - Capex Input'!$I99=H$3,'11. Water - Capex Input'!$G99,IF(G116&gt;1,G116-1,0))</f>
        <v>40</v>
      </c>
    </row>
    <row r="117" spans="2:8">
      <c r="B117" s="152">
        <f>'11. Water - Capex Input'!F100</f>
        <v>0</v>
      </c>
      <c r="D117" s="30">
        <f>IF('11. Water - Capex Input'!$I100=D$3,'11. Water - Capex Input'!$G100,IF(C117&gt;1,C117-1,0))</f>
        <v>40</v>
      </c>
      <c r="E117" s="30">
        <f>IF('11. Water - Capex Input'!$I100=E$3,'11. Water - Capex Input'!$G100,IF(D117&gt;1,D117-1,0))</f>
        <v>39</v>
      </c>
      <c r="F117" s="30">
        <f>IF('11. Water - Capex Input'!$I100=F$3,'11. Water - Capex Input'!$G100,IF(E117&gt;1,E117-1,0))</f>
        <v>38</v>
      </c>
      <c r="G117" s="30">
        <f>IF('11. Water - Capex Input'!$I100=G$3,'11. Water - Capex Input'!$G100,IF(F117&gt;1,F117-1,0))</f>
        <v>37</v>
      </c>
      <c r="H117" s="30">
        <f>IF('11. Water - Capex Input'!$I100=H$3,'11. Water - Capex Input'!$G100,IF(G117&gt;1,G117-1,0))</f>
        <v>36</v>
      </c>
    </row>
    <row r="118" spans="2:8">
      <c r="B118" s="152">
        <f>'11. Water - Capex Input'!F101</f>
        <v>0</v>
      </c>
      <c r="D118" s="30">
        <f>IF('11. Water - Capex Input'!$I101=D$3,'11. Water - Capex Input'!$G101,IF(C118&gt;1,C118-1,0))</f>
        <v>0</v>
      </c>
      <c r="E118" s="30">
        <f>IF('11. Water - Capex Input'!$I101=E$3,'11. Water - Capex Input'!$G101,IF(D118&gt;1,D118-1,0))</f>
        <v>40</v>
      </c>
      <c r="F118" s="30">
        <f>IF('11. Water - Capex Input'!$I101=F$3,'11. Water - Capex Input'!$G101,IF(E118&gt;1,E118-1,0))</f>
        <v>39</v>
      </c>
      <c r="G118" s="30">
        <f>IF('11. Water - Capex Input'!$I101=G$3,'11. Water - Capex Input'!$G101,IF(F118&gt;1,F118-1,0))</f>
        <v>38</v>
      </c>
      <c r="H118" s="30">
        <f>IF('11. Water - Capex Input'!$I101=H$3,'11. Water - Capex Input'!$G101,IF(G118&gt;1,G118-1,0))</f>
        <v>37</v>
      </c>
    </row>
    <row r="119" spans="2:8">
      <c r="B119" s="152">
        <f>'11. Water - Capex Input'!F102</f>
        <v>0</v>
      </c>
      <c r="D119" s="30">
        <f>IF('11. Water - Capex Input'!$I102=D$3,'11. Water - Capex Input'!$G102,IF(C119&gt;1,C119-1,0))</f>
        <v>0</v>
      </c>
      <c r="E119" s="30">
        <f>IF('11. Water - Capex Input'!$I102=E$3,'11. Water - Capex Input'!$G102,IF(D119&gt;1,D119-1,0))</f>
        <v>0</v>
      </c>
      <c r="F119" s="30">
        <f>IF('11. Water - Capex Input'!$I102=F$3,'11. Water - Capex Input'!$G102,IF(E119&gt;1,E119-1,0))</f>
        <v>0</v>
      </c>
      <c r="G119" s="30">
        <f>IF('11. Water - Capex Input'!$I102=G$3,'11. Water - Capex Input'!$G102,IF(F119&gt;1,F119-1,0))</f>
        <v>0</v>
      </c>
      <c r="H119" s="30">
        <f>IF('11. Water - Capex Input'!$I102=H$3,'11. Water - Capex Input'!$G102,IF(G119&gt;1,G119-1,0))</f>
        <v>80</v>
      </c>
    </row>
    <row r="120" spans="2:8">
      <c r="B120" s="152">
        <f>'11. Water - Capex Input'!F103</f>
        <v>0</v>
      </c>
      <c r="D120" s="30">
        <f>IF('11. Water - Capex Input'!$I103=D$3,'11. Water - Capex Input'!$G103,IF(C120&gt;1,C120-1,0))</f>
        <v>40</v>
      </c>
      <c r="E120" s="30">
        <f>IF('11. Water - Capex Input'!$I103=E$3,'11. Water - Capex Input'!$G103,IF(D120&gt;1,D120-1,0))</f>
        <v>39</v>
      </c>
      <c r="F120" s="30">
        <f>IF('11. Water - Capex Input'!$I103=F$3,'11. Water - Capex Input'!$G103,IF(E120&gt;1,E120-1,0))</f>
        <v>38</v>
      </c>
      <c r="G120" s="30">
        <f>IF('11. Water - Capex Input'!$I103=G$3,'11. Water - Capex Input'!$G103,IF(F120&gt;1,F120-1,0))</f>
        <v>37</v>
      </c>
      <c r="H120" s="30">
        <f>IF('11. Water - Capex Input'!$I103=H$3,'11. Water - Capex Input'!$G103,IF(G120&gt;1,G120-1,0))</f>
        <v>36</v>
      </c>
    </row>
    <row r="121" spans="2:8">
      <c r="B121" s="152">
        <f>'11. Water - Capex Input'!F104</f>
        <v>0</v>
      </c>
      <c r="D121" s="30">
        <f>IF('11. Water - Capex Input'!$I104=D$3,'11. Water - Capex Input'!$G104,IF(C121&gt;1,C121-1,0))</f>
        <v>0</v>
      </c>
      <c r="E121" s="30">
        <f>IF('11. Water - Capex Input'!$I104=E$3,'11. Water - Capex Input'!$G104,IF(D121&gt;1,D121-1,0))</f>
        <v>40</v>
      </c>
      <c r="F121" s="30">
        <f>IF('11. Water - Capex Input'!$I104=F$3,'11. Water - Capex Input'!$G104,IF(E121&gt;1,E121-1,0))</f>
        <v>39</v>
      </c>
      <c r="G121" s="30">
        <f>IF('11. Water - Capex Input'!$I104=G$3,'11. Water - Capex Input'!$G104,IF(F121&gt;1,F121-1,0))</f>
        <v>38</v>
      </c>
      <c r="H121" s="30">
        <f>IF('11. Water - Capex Input'!$I104=H$3,'11. Water - Capex Input'!$G104,IF(G121&gt;1,G121-1,0))</f>
        <v>37</v>
      </c>
    </row>
    <row r="122" spans="2:8">
      <c r="B122" s="152">
        <f>'11. Water - Capex Input'!F105</f>
        <v>0</v>
      </c>
      <c r="D122" s="30">
        <f>IF('11. Water - Capex Input'!$I105=D$3,'11. Water - Capex Input'!$G105,IF(C122&gt;1,C122-1,0))</f>
        <v>0</v>
      </c>
      <c r="E122" s="30">
        <f>IF('11. Water - Capex Input'!$I105=E$3,'11. Water - Capex Input'!$G105,IF(D122&gt;1,D122-1,0))</f>
        <v>0</v>
      </c>
      <c r="F122" s="30">
        <f>IF('11. Water - Capex Input'!$I105=F$3,'11. Water - Capex Input'!$G105,IF(E122&gt;1,E122-1,0))</f>
        <v>40</v>
      </c>
      <c r="G122" s="30">
        <f>IF('11. Water - Capex Input'!$I105=G$3,'11. Water - Capex Input'!$G105,IF(F122&gt;1,F122-1,0))</f>
        <v>39</v>
      </c>
      <c r="H122" s="30">
        <f>IF('11. Water - Capex Input'!$I105=H$3,'11. Water - Capex Input'!$G105,IF(G122&gt;1,G122-1,0))</f>
        <v>38</v>
      </c>
    </row>
    <row r="123" spans="2:8">
      <c r="B123" s="152">
        <f>'11. Water - Capex Input'!F106</f>
        <v>0</v>
      </c>
      <c r="D123" s="30">
        <f>IF('11. Water - Capex Input'!$I106=D$3,'11. Water - Capex Input'!$G106,IF(C123&gt;1,C123-1,0))</f>
        <v>40</v>
      </c>
      <c r="E123" s="30">
        <f>IF('11. Water - Capex Input'!$I106=E$3,'11. Water - Capex Input'!$G106,IF(D123&gt;1,D123-1,0))</f>
        <v>39</v>
      </c>
      <c r="F123" s="30">
        <f>IF('11. Water - Capex Input'!$I106=F$3,'11. Water - Capex Input'!$G106,IF(E123&gt;1,E123-1,0))</f>
        <v>38</v>
      </c>
      <c r="G123" s="30">
        <f>IF('11. Water - Capex Input'!$I106=G$3,'11. Water - Capex Input'!$G106,IF(F123&gt;1,F123-1,0))</f>
        <v>37</v>
      </c>
      <c r="H123" s="30">
        <f>IF('11. Water - Capex Input'!$I106=H$3,'11. Water - Capex Input'!$G106,IF(G123&gt;1,G123-1,0))</f>
        <v>36</v>
      </c>
    </row>
    <row r="124" spans="2:8">
      <c r="B124" s="152">
        <f>'11. Water - Capex Input'!F107</f>
        <v>0</v>
      </c>
      <c r="D124" s="30">
        <f>IF('11. Water - Capex Input'!$I107=D$3,'11. Water - Capex Input'!$G107,IF(C124&gt;1,C124-1,0))</f>
        <v>0</v>
      </c>
      <c r="E124" s="30">
        <f>IF('11. Water - Capex Input'!$I107=E$3,'11. Water - Capex Input'!$G107,IF(D124&gt;1,D124-1,0))</f>
        <v>0</v>
      </c>
      <c r="F124" s="30">
        <f>IF('11. Water - Capex Input'!$I107=F$3,'11. Water - Capex Input'!$G107,IF(E124&gt;1,E124-1,0))</f>
        <v>0</v>
      </c>
      <c r="G124" s="30">
        <f>IF('11. Water - Capex Input'!$I107=G$3,'11. Water - Capex Input'!$G107,IF(F124&gt;1,F124-1,0))</f>
        <v>0</v>
      </c>
      <c r="H124" s="30">
        <f>IF('11. Water - Capex Input'!$I107=H$3,'11. Water - Capex Input'!$G107,IF(G124&gt;1,G124-1,0))</f>
        <v>40</v>
      </c>
    </row>
    <row r="125" spans="2:8">
      <c r="B125" s="152">
        <f>'11. Water - Capex Input'!F108</f>
        <v>0</v>
      </c>
      <c r="D125" s="30">
        <f>IF('11. Water - Capex Input'!$I108=D$3,'11. Water - Capex Input'!$G108,IF(C125&gt;1,C125-1,0))</f>
        <v>0</v>
      </c>
      <c r="E125" s="30">
        <f>IF('11. Water - Capex Input'!$I108=E$3,'11. Water - Capex Input'!$G108,IF(D125&gt;1,D125-1,0))</f>
        <v>0</v>
      </c>
      <c r="F125" s="30">
        <f>IF('11. Water - Capex Input'!$I108=F$3,'11. Water - Capex Input'!$G108,IF(E125&gt;1,E125-1,0))</f>
        <v>0</v>
      </c>
      <c r="G125" s="30">
        <f>IF('11. Water - Capex Input'!$I108=G$3,'11. Water - Capex Input'!$G108,IF(F125&gt;1,F125-1,0))</f>
        <v>0</v>
      </c>
      <c r="H125" s="30">
        <f>IF('11. Water - Capex Input'!$I108=H$3,'11. Water - Capex Input'!$G108,IF(G125&gt;1,G125-1,0))</f>
        <v>40</v>
      </c>
    </row>
    <row r="126" spans="2:8">
      <c r="B126" s="152">
        <f>'11. Water - Capex Input'!F109</f>
        <v>0</v>
      </c>
      <c r="D126" s="30">
        <f>IF('11. Water - Capex Input'!$I109=D$3,'11. Water - Capex Input'!$G109,IF(C126&gt;1,C126-1,0))</f>
        <v>100</v>
      </c>
      <c r="E126" s="30">
        <f>IF('11. Water - Capex Input'!$I109=E$3,'11. Water - Capex Input'!$G109,IF(D126&gt;1,D126-1,0))</f>
        <v>99</v>
      </c>
      <c r="F126" s="30">
        <f>IF('11. Water - Capex Input'!$I109=F$3,'11. Water - Capex Input'!$G109,IF(E126&gt;1,E126-1,0))</f>
        <v>98</v>
      </c>
      <c r="G126" s="30">
        <f>IF('11. Water - Capex Input'!$I109=G$3,'11. Water - Capex Input'!$G109,IF(F126&gt;1,F126-1,0))</f>
        <v>97</v>
      </c>
      <c r="H126" s="30">
        <f>IF('11. Water - Capex Input'!$I109=H$3,'11. Water - Capex Input'!$G109,IF(G126&gt;1,G126-1,0))</f>
        <v>96</v>
      </c>
    </row>
    <row r="127" spans="2:8">
      <c r="B127" s="152">
        <f>'11. Water - Capex Input'!F110</f>
        <v>0</v>
      </c>
      <c r="D127" s="30">
        <f>IF('11. Water - Capex Input'!$I110=D$3,'11. Water - Capex Input'!$G110,IF(C127&gt;1,C127-1,0))</f>
        <v>0</v>
      </c>
      <c r="E127" s="30">
        <f>IF('11. Water - Capex Input'!$I110=E$3,'11. Water - Capex Input'!$G110,IF(D127&gt;1,D127-1,0))</f>
        <v>100</v>
      </c>
      <c r="F127" s="30">
        <f>IF('11. Water - Capex Input'!$I110=F$3,'11. Water - Capex Input'!$G110,IF(E127&gt;1,E127-1,0))</f>
        <v>99</v>
      </c>
      <c r="G127" s="30">
        <f>IF('11. Water - Capex Input'!$I110=G$3,'11. Water - Capex Input'!$G110,IF(F127&gt;1,F127-1,0))</f>
        <v>98</v>
      </c>
      <c r="H127" s="30">
        <f>IF('11. Water - Capex Input'!$I110=H$3,'11. Water - Capex Input'!$G110,IF(G127&gt;1,G127-1,0))</f>
        <v>97</v>
      </c>
    </row>
    <row r="128" spans="2:8">
      <c r="B128" s="152">
        <f>'11. Water - Capex Input'!F111</f>
        <v>0</v>
      </c>
      <c r="D128" s="30">
        <f>IF('11. Water - Capex Input'!$I111=D$3,'11. Water - Capex Input'!$G111,IF(C128&gt;1,C128-1,0))</f>
        <v>0</v>
      </c>
      <c r="E128" s="30">
        <f>IF('11. Water - Capex Input'!$I111=E$3,'11. Water - Capex Input'!$G111,IF(D128&gt;1,D128-1,0))</f>
        <v>0</v>
      </c>
      <c r="F128" s="30">
        <f>IF('11. Water - Capex Input'!$I111=F$3,'11. Water - Capex Input'!$G111,IF(E128&gt;1,E128-1,0))</f>
        <v>0</v>
      </c>
      <c r="G128" s="30">
        <f>IF('11. Water - Capex Input'!$I111=G$3,'11. Water - Capex Input'!$G111,IF(F128&gt;1,F128-1,0))</f>
        <v>0</v>
      </c>
      <c r="H128" s="30">
        <f>IF('11. Water - Capex Input'!$I111=H$3,'11. Water - Capex Input'!$G111,IF(G128&gt;1,G128-1,0))</f>
        <v>50</v>
      </c>
    </row>
    <row r="129" spans="2:8">
      <c r="B129" s="152">
        <f>'11. Water - Capex Input'!F112</f>
        <v>0</v>
      </c>
      <c r="D129" s="30">
        <f>IF('11. Water - Capex Input'!$I112=D$3,'11. Water - Capex Input'!$G112,IF(C129&gt;1,C129-1,0))</f>
        <v>10</v>
      </c>
      <c r="E129" s="30">
        <f>IF('11. Water - Capex Input'!$I112=E$3,'11. Water - Capex Input'!$G112,IF(D129&gt;1,D129-1,0))</f>
        <v>9</v>
      </c>
      <c r="F129" s="30">
        <f>IF('11. Water - Capex Input'!$I112=F$3,'11. Water - Capex Input'!$G112,IF(E129&gt;1,E129-1,0))</f>
        <v>8</v>
      </c>
      <c r="G129" s="30">
        <f>IF('11. Water - Capex Input'!$I112=G$3,'11. Water - Capex Input'!$G112,IF(F129&gt;1,F129-1,0))</f>
        <v>7</v>
      </c>
      <c r="H129" s="30">
        <f>IF('11. Water - Capex Input'!$I112=H$3,'11. Water - Capex Input'!$G112,IF(G129&gt;1,G129-1,0))</f>
        <v>6</v>
      </c>
    </row>
    <row r="130" spans="2:8">
      <c r="B130" s="152">
        <f>'11. Water - Capex Input'!F113</f>
        <v>0</v>
      </c>
      <c r="D130" s="30">
        <f>IF('11. Water - Capex Input'!$I113=D$3,'11. Water - Capex Input'!$G113,IF(C130&gt;1,C130-1,0))</f>
        <v>5</v>
      </c>
      <c r="E130" s="30">
        <f>IF('11. Water - Capex Input'!$I113=E$3,'11. Water - Capex Input'!$G113,IF(D130&gt;1,D130-1,0))</f>
        <v>4</v>
      </c>
      <c r="F130" s="30">
        <f>IF('11. Water - Capex Input'!$I113=F$3,'11. Water - Capex Input'!$G113,IF(E130&gt;1,E130-1,0))</f>
        <v>3</v>
      </c>
      <c r="G130" s="30">
        <f>IF('11. Water - Capex Input'!$I113=G$3,'11. Water - Capex Input'!$G113,IF(F130&gt;1,F130-1,0))</f>
        <v>2</v>
      </c>
      <c r="H130" s="30">
        <f>IF('11. Water - Capex Input'!$I113=H$3,'11. Water - Capex Input'!$G113,IF(G130&gt;1,G130-1,0))</f>
        <v>1</v>
      </c>
    </row>
    <row r="131" spans="2:8">
      <c r="B131" s="152">
        <f>'11. Water - Capex Input'!F114</f>
        <v>0</v>
      </c>
      <c r="D131" s="30">
        <f>IF('11. Water - Capex Input'!$I114=D$3,'11. Water - Capex Input'!$G114,IF(C131&gt;1,C131-1,0))</f>
        <v>0</v>
      </c>
      <c r="E131" s="30">
        <f>IF('11. Water - Capex Input'!$I114=E$3,'11. Water - Capex Input'!$G114,IF(D131&gt;1,D131-1,0))</f>
        <v>15</v>
      </c>
      <c r="F131" s="30">
        <f>IF('11. Water - Capex Input'!$I114=F$3,'11. Water - Capex Input'!$G114,IF(E131&gt;1,E131-1,0))</f>
        <v>14</v>
      </c>
      <c r="G131" s="30">
        <f>IF('11. Water - Capex Input'!$I114=G$3,'11. Water - Capex Input'!$G114,IF(F131&gt;1,F131-1,0))</f>
        <v>13</v>
      </c>
      <c r="H131" s="30">
        <f>IF('11. Water - Capex Input'!$I114=H$3,'11. Water - Capex Input'!$G114,IF(G131&gt;1,G131-1,0))</f>
        <v>12</v>
      </c>
    </row>
    <row r="132" spans="2:8">
      <c r="B132" s="152">
        <f>'11. Water - Capex Input'!F115</f>
        <v>0</v>
      </c>
      <c r="D132" s="30">
        <f>IF('11. Water - Capex Input'!$I115=D$3,'11. Water - Capex Input'!$G115,IF(C132&gt;1,C132-1,0))</f>
        <v>5</v>
      </c>
      <c r="E132" s="30">
        <f>IF('11. Water - Capex Input'!$I115=E$3,'11. Water - Capex Input'!$G115,IF(D132&gt;1,D132-1,0))</f>
        <v>4</v>
      </c>
      <c r="F132" s="30">
        <f>IF('11. Water - Capex Input'!$I115=F$3,'11. Water - Capex Input'!$G115,IF(E132&gt;1,E132-1,0))</f>
        <v>3</v>
      </c>
      <c r="G132" s="30">
        <f>IF('11. Water - Capex Input'!$I115=G$3,'11. Water - Capex Input'!$G115,IF(F132&gt;1,F132-1,0))</f>
        <v>2</v>
      </c>
      <c r="H132" s="30">
        <f>IF('11. Water - Capex Input'!$I115=H$3,'11. Water - Capex Input'!$G115,IF(G132&gt;1,G132-1,0))</f>
        <v>1</v>
      </c>
    </row>
    <row r="133" spans="2:8">
      <c r="B133" s="152">
        <f>'11. Water - Capex Input'!F116</f>
        <v>0</v>
      </c>
      <c r="D133" s="30">
        <f>IF('11. Water - Capex Input'!$I116=D$3,'11. Water - Capex Input'!$G116,IF(C133&gt;1,C133-1,0))</f>
        <v>0</v>
      </c>
      <c r="E133" s="30">
        <f>IF('11. Water - Capex Input'!$I116=E$3,'11. Water - Capex Input'!$G116,IF(D133&gt;1,D133-1,0))</f>
        <v>5</v>
      </c>
      <c r="F133" s="30">
        <f>IF('11. Water - Capex Input'!$I116=F$3,'11. Water - Capex Input'!$G116,IF(E133&gt;1,E133-1,0))</f>
        <v>4</v>
      </c>
      <c r="G133" s="30">
        <f>IF('11. Water - Capex Input'!$I116=G$3,'11. Water - Capex Input'!$G116,IF(F133&gt;1,F133-1,0))</f>
        <v>3</v>
      </c>
      <c r="H133" s="30">
        <f>IF('11. Water - Capex Input'!$I116=H$3,'11. Water - Capex Input'!$G116,IF(G133&gt;1,G133-1,0))</f>
        <v>2</v>
      </c>
    </row>
    <row r="134" spans="2:8">
      <c r="B134" s="152">
        <f>'11. Water - Capex Input'!F117</f>
        <v>0</v>
      </c>
      <c r="D134" s="30">
        <f>IF('11. Water - Capex Input'!$I117=D$3,'11. Water - Capex Input'!$G117,IF(C134&gt;1,C134-1,0))</f>
        <v>0</v>
      </c>
      <c r="E134" s="30">
        <f>IF('11. Water - Capex Input'!$I117=E$3,'11. Water - Capex Input'!$G117,IF(D134&gt;1,D134-1,0))</f>
        <v>0</v>
      </c>
      <c r="F134" s="30">
        <f>IF('11. Water - Capex Input'!$I117=F$3,'11. Water - Capex Input'!$G117,IF(E134&gt;1,E134-1,0))</f>
        <v>5</v>
      </c>
      <c r="G134" s="30">
        <f>IF('11. Water - Capex Input'!$I117=G$3,'11. Water - Capex Input'!$G117,IF(F134&gt;1,F134-1,0))</f>
        <v>4</v>
      </c>
      <c r="H134" s="30">
        <f>IF('11. Water - Capex Input'!$I117=H$3,'11. Water - Capex Input'!$G117,IF(G134&gt;1,G134-1,0))</f>
        <v>3</v>
      </c>
    </row>
    <row r="135" spans="2:8">
      <c r="B135" s="152">
        <f>'11. Water - Capex Input'!F118</f>
        <v>0</v>
      </c>
      <c r="D135" s="30">
        <f>IF('11. Water - Capex Input'!$I118=D$3,'11. Water - Capex Input'!$G118,IF(C135&gt;1,C135-1,0))</f>
        <v>0</v>
      </c>
      <c r="E135" s="30">
        <f>IF('11. Water - Capex Input'!$I118=E$3,'11. Water - Capex Input'!$G118,IF(D135&gt;1,D135-1,0))</f>
        <v>0</v>
      </c>
      <c r="F135" s="30">
        <f>IF('11. Water - Capex Input'!$I118=F$3,'11. Water - Capex Input'!$G118,IF(E135&gt;1,E135-1,0))</f>
        <v>0</v>
      </c>
      <c r="G135" s="30">
        <f>IF('11. Water - Capex Input'!$I118=G$3,'11. Water - Capex Input'!$G118,IF(F135&gt;1,F135-1,0))</f>
        <v>5</v>
      </c>
      <c r="H135" s="30">
        <f>IF('11. Water - Capex Input'!$I118=H$3,'11. Water - Capex Input'!$G118,IF(G135&gt;1,G135-1,0))</f>
        <v>4</v>
      </c>
    </row>
    <row r="136" spans="2:8">
      <c r="B136" s="152">
        <f>'11. Water - Capex Input'!F119</f>
        <v>0</v>
      </c>
      <c r="D136" s="30">
        <f>IF('11. Water - Capex Input'!$I119=D$3,'11. Water - Capex Input'!$G119,IF(C136&gt;1,C136-1,0))</f>
        <v>0</v>
      </c>
      <c r="E136" s="30">
        <f>IF('11. Water - Capex Input'!$I119=E$3,'11. Water - Capex Input'!$G119,IF(D136&gt;1,D136-1,0))</f>
        <v>0</v>
      </c>
      <c r="F136" s="30">
        <f>IF('11. Water - Capex Input'!$I119=F$3,'11. Water - Capex Input'!$G119,IF(E136&gt;1,E136-1,0))</f>
        <v>0</v>
      </c>
      <c r="G136" s="30">
        <f>IF('11. Water - Capex Input'!$I119=G$3,'11. Water - Capex Input'!$G119,IF(F136&gt;1,F136-1,0))</f>
        <v>0</v>
      </c>
      <c r="H136" s="30">
        <f>IF('11. Water - Capex Input'!$I119=H$3,'11. Water - Capex Input'!$G119,IF(G136&gt;1,G136-1,0))</f>
        <v>5</v>
      </c>
    </row>
    <row r="137" spans="2:8">
      <c r="B137" s="152">
        <f>'11. Water - Capex Input'!F120</f>
        <v>0</v>
      </c>
      <c r="D137" s="30">
        <f>IF('11. Water - Capex Input'!$I120=D$3,'11. Water - Capex Input'!$G120,IF(C137&gt;1,C137-1,0))</f>
        <v>5</v>
      </c>
      <c r="E137" s="30">
        <f>IF('11. Water - Capex Input'!$I120=E$3,'11. Water - Capex Input'!$G120,IF(D137&gt;1,D137-1,0))</f>
        <v>4</v>
      </c>
      <c r="F137" s="30">
        <f>IF('11. Water - Capex Input'!$I120=F$3,'11. Water - Capex Input'!$G120,IF(E137&gt;1,E137-1,0))</f>
        <v>3</v>
      </c>
      <c r="G137" s="30">
        <f>IF('11. Water - Capex Input'!$I120=G$3,'11. Water - Capex Input'!$G120,IF(F137&gt;1,F137-1,0))</f>
        <v>2</v>
      </c>
      <c r="H137" s="30">
        <f>IF('11. Water - Capex Input'!$I120=H$3,'11. Water - Capex Input'!$G120,IF(G137&gt;1,G137-1,0))</f>
        <v>1</v>
      </c>
    </row>
    <row r="138" spans="2:8">
      <c r="B138" s="152">
        <f>'11. Water - Capex Input'!F121</f>
        <v>0</v>
      </c>
      <c r="D138" s="30">
        <f>IF('11. Water - Capex Input'!$I121=D$3,'11. Water - Capex Input'!$G121,IF(C138&gt;1,C138-1,0))</f>
        <v>20</v>
      </c>
      <c r="E138" s="30">
        <f>IF('11. Water - Capex Input'!$I121=E$3,'11. Water - Capex Input'!$G121,IF(D138&gt;1,D138-1,0))</f>
        <v>19</v>
      </c>
      <c r="F138" s="30">
        <f>IF('11. Water - Capex Input'!$I121=F$3,'11. Water - Capex Input'!$G121,IF(E138&gt;1,E138-1,0))</f>
        <v>18</v>
      </c>
      <c r="G138" s="30">
        <f>IF('11. Water - Capex Input'!$I121=G$3,'11. Water - Capex Input'!$G121,IF(F138&gt;1,F138-1,0))</f>
        <v>17</v>
      </c>
      <c r="H138" s="30">
        <f>IF('11. Water - Capex Input'!$I121=H$3,'11. Water - Capex Input'!$G121,IF(G138&gt;1,G138-1,0))</f>
        <v>16</v>
      </c>
    </row>
    <row r="139" spans="2:8">
      <c r="B139" s="152">
        <f>'11. Water - Capex Input'!F122</f>
        <v>0</v>
      </c>
      <c r="D139" s="30">
        <f>IF('11. Water - Capex Input'!$I122=D$3,'11. Water - Capex Input'!$G122,IF(C139&gt;1,C139-1,0))</f>
        <v>0</v>
      </c>
      <c r="E139" s="30">
        <f>IF('11. Water - Capex Input'!$I122=E$3,'11. Water - Capex Input'!$G122,IF(D139&gt;1,D139-1,0))</f>
        <v>20</v>
      </c>
      <c r="F139" s="30">
        <f>IF('11. Water - Capex Input'!$I122=F$3,'11. Water - Capex Input'!$G122,IF(E139&gt;1,E139-1,0))</f>
        <v>19</v>
      </c>
      <c r="G139" s="30">
        <f>IF('11. Water - Capex Input'!$I122=G$3,'11. Water - Capex Input'!$G122,IF(F139&gt;1,F139-1,0))</f>
        <v>18</v>
      </c>
      <c r="H139" s="30">
        <f>IF('11. Water - Capex Input'!$I122=H$3,'11. Water - Capex Input'!$G122,IF(G139&gt;1,G139-1,0))</f>
        <v>17</v>
      </c>
    </row>
    <row r="140" spans="2:8">
      <c r="B140" s="152">
        <f>'11. Water - Capex Input'!F123</f>
        <v>0</v>
      </c>
      <c r="D140" s="30">
        <f>IF('11. Water - Capex Input'!$I123=D$3,'11. Water - Capex Input'!$G123,IF(C140&gt;1,C140-1,0))</f>
        <v>30</v>
      </c>
      <c r="E140" s="30">
        <f>IF('11. Water - Capex Input'!$I123=E$3,'11. Water - Capex Input'!$G123,IF(D140&gt;1,D140-1,0))</f>
        <v>29</v>
      </c>
      <c r="F140" s="30">
        <f>IF('11. Water - Capex Input'!$I123=F$3,'11. Water - Capex Input'!$G123,IF(E140&gt;1,E140-1,0))</f>
        <v>28</v>
      </c>
      <c r="G140" s="30">
        <f>IF('11. Water - Capex Input'!$I123=G$3,'11. Water - Capex Input'!$G123,IF(F140&gt;1,F140-1,0))</f>
        <v>27</v>
      </c>
      <c r="H140" s="30">
        <f>IF('11. Water - Capex Input'!$I123=H$3,'11. Water - Capex Input'!$G123,IF(G140&gt;1,G140-1,0))</f>
        <v>26</v>
      </c>
    </row>
    <row r="141" spans="2:8">
      <c r="B141" s="152">
        <f>'11. Water - Capex Input'!F124</f>
        <v>0</v>
      </c>
      <c r="D141" s="30">
        <f>IF('11. Water - Capex Input'!$I124=D$3,'11. Water - Capex Input'!$G124,IF(C141&gt;1,C141-1,0))</f>
        <v>20</v>
      </c>
      <c r="E141" s="30">
        <f>IF('11. Water - Capex Input'!$I124=E$3,'11. Water - Capex Input'!$G124,IF(D141&gt;1,D141-1,0))</f>
        <v>19</v>
      </c>
      <c r="F141" s="30">
        <f>IF('11. Water - Capex Input'!$I124=F$3,'11. Water - Capex Input'!$G124,IF(E141&gt;1,E141-1,0))</f>
        <v>18</v>
      </c>
      <c r="G141" s="30">
        <f>IF('11. Water - Capex Input'!$I124=G$3,'11. Water - Capex Input'!$G124,IF(F141&gt;1,F141-1,0))</f>
        <v>17</v>
      </c>
      <c r="H141" s="30">
        <f>IF('11. Water - Capex Input'!$I124=H$3,'11. Water - Capex Input'!$G124,IF(G141&gt;1,G141-1,0))</f>
        <v>16</v>
      </c>
    </row>
    <row r="142" spans="2:8">
      <c r="B142" s="152">
        <f>'11. Water - Capex Input'!F125</f>
        <v>0</v>
      </c>
      <c r="D142" s="30">
        <f>IF('11. Water - Capex Input'!$I125=D$3,'11. Water - Capex Input'!$G125,IF(C142&gt;1,C142-1,0))</f>
        <v>40</v>
      </c>
      <c r="E142" s="30">
        <f>IF('11. Water - Capex Input'!$I125=E$3,'11. Water - Capex Input'!$G125,IF(D142&gt;1,D142-1,0))</f>
        <v>39</v>
      </c>
      <c r="F142" s="30">
        <f>IF('11. Water - Capex Input'!$I125=F$3,'11. Water - Capex Input'!$G125,IF(E142&gt;1,E142-1,0))</f>
        <v>38</v>
      </c>
      <c r="G142" s="30">
        <f>IF('11. Water - Capex Input'!$I125=G$3,'11. Water - Capex Input'!$G125,IF(F142&gt;1,F142-1,0))</f>
        <v>37</v>
      </c>
      <c r="H142" s="30">
        <f>IF('11. Water - Capex Input'!$I125=H$3,'11. Water - Capex Input'!$G125,IF(G142&gt;1,G142-1,0))</f>
        <v>36</v>
      </c>
    </row>
    <row r="143" spans="2:8">
      <c r="B143" s="152">
        <f>'11. Water - Capex Input'!F126</f>
        <v>0</v>
      </c>
      <c r="D143" s="30">
        <f>IF('11. Water - Capex Input'!$I126=D$3,'11. Water - Capex Input'!$G126,IF(C143&gt;1,C143-1,0))</f>
        <v>30</v>
      </c>
      <c r="E143" s="30">
        <f>IF('11. Water - Capex Input'!$I126=E$3,'11. Water - Capex Input'!$G126,IF(D143&gt;1,D143-1,0))</f>
        <v>29</v>
      </c>
      <c r="F143" s="30">
        <f>IF('11. Water - Capex Input'!$I126=F$3,'11. Water - Capex Input'!$G126,IF(E143&gt;1,E143-1,0))</f>
        <v>28</v>
      </c>
      <c r="G143" s="30">
        <f>IF('11. Water - Capex Input'!$I126=G$3,'11. Water - Capex Input'!$G126,IF(F143&gt;1,F143-1,0))</f>
        <v>27</v>
      </c>
      <c r="H143" s="30">
        <f>IF('11. Water - Capex Input'!$I126=H$3,'11. Water - Capex Input'!$G126,IF(G143&gt;1,G143-1,0))</f>
        <v>26</v>
      </c>
    </row>
    <row r="144" spans="2:8">
      <c r="B144" s="152">
        <f>'11. Water - Capex Input'!F127</f>
        <v>0</v>
      </c>
      <c r="D144" s="30">
        <f>IF('11. Water - Capex Input'!$I127=D$3,'11. Water - Capex Input'!$G127,IF(C144&gt;1,C144-1,0))</f>
        <v>100</v>
      </c>
      <c r="E144" s="30">
        <f>IF('11. Water - Capex Input'!$I127=E$3,'11. Water - Capex Input'!$G127,IF(D144&gt;1,D144-1,0))</f>
        <v>99</v>
      </c>
      <c r="F144" s="30">
        <f>IF('11. Water - Capex Input'!$I127=F$3,'11. Water - Capex Input'!$G127,IF(E144&gt;1,E144-1,0))</f>
        <v>98</v>
      </c>
      <c r="G144" s="30">
        <f>IF('11. Water - Capex Input'!$I127=G$3,'11. Water - Capex Input'!$G127,IF(F144&gt;1,F144-1,0))</f>
        <v>97</v>
      </c>
      <c r="H144" s="30">
        <f>IF('11. Water - Capex Input'!$I127=H$3,'11. Water - Capex Input'!$G127,IF(G144&gt;1,G144-1,0))</f>
        <v>96</v>
      </c>
    </row>
    <row r="145" spans="2:8">
      <c r="B145" s="152">
        <f>'11. Water - Capex Input'!F128</f>
        <v>0</v>
      </c>
      <c r="D145" s="30">
        <f>IF('11. Water - Capex Input'!$I128=D$3,'11. Water - Capex Input'!$G128,IF(C145&gt;1,C145-1,0))</f>
        <v>0</v>
      </c>
      <c r="E145" s="30">
        <f>IF('11. Water - Capex Input'!$I128=E$3,'11. Water - Capex Input'!$G128,IF(D145&gt;1,D145-1,0))</f>
        <v>100</v>
      </c>
      <c r="F145" s="30">
        <f>IF('11. Water - Capex Input'!$I128=F$3,'11. Water - Capex Input'!$G128,IF(E145&gt;1,E145-1,0))</f>
        <v>99</v>
      </c>
      <c r="G145" s="30">
        <f>IF('11. Water - Capex Input'!$I128=G$3,'11. Water - Capex Input'!$G128,IF(F145&gt;1,F145-1,0))</f>
        <v>98</v>
      </c>
      <c r="H145" s="30">
        <f>IF('11. Water - Capex Input'!$I128=H$3,'11. Water - Capex Input'!$G128,IF(G145&gt;1,G145-1,0))</f>
        <v>97</v>
      </c>
    </row>
    <row r="146" spans="2:8">
      <c r="B146" s="152">
        <f>'11. Water - Capex Input'!F129</f>
        <v>0</v>
      </c>
      <c r="D146" s="30">
        <f>IF('11. Water - Capex Input'!$I129=D$3,'11. Water - Capex Input'!$G129,IF(C146&gt;1,C146-1,0))</f>
        <v>80</v>
      </c>
      <c r="E146" s="30">
        <f>IF('11. Water - Capex Input'!$I129=E$3,'11. Water - Capex Input'!$G129,IF(D146&gt;1,D146-1,0))</f>
        <v>79</v>
      </c>
      <c r="F146" s="30">
        <f>IF('11. Water - Capex Input'!$I129=F$3,'11. Water - Capex Input'!$G129,IF(E146&gt;1,E146-1,0))</f>
        <v>78</v>
      </c>
      <c r="G146" s="30">
        <f>IF('11. Water - Capex Input'!$I129=G$3,'11. Water - Capex Input'!$G129,IF(F146&gt;1,F146-1,0))</f>
        <v>77</v>
      </c>
      <c r="H146" s="30">
        <f>IF('11. Water - Capex Input'!$I129=H$3,'11. Water - Capex Input'!$G129,IF(G146&gt;1,G146-1,0))</f>
        <v>76</v>
      </c>
    </row>
    <row r="147" spans="2:8">
      <c r="B147" s="152">
        <f>'11. Water - Capex Input'!F130</f>
        <v>0</v>
      </c>
      <c r="D147" s="30">
        <f>IF('11. Water - Capex Input'!$I130=D$3,'11. Water - Capex Input'!$G130,IF(C147&gt;1,C147-1,0))</f>
        <v>10</v>
      </c>
      <c r="E147" s="30">
        <f>IF('11. Water - Capex Input'!$I130=E$3,'11. Water - Capex Input'!$G130,IF(D147&gt;1,D147-1,0))</f>
        <v>9</v>
      </c>
      <c r="F147" s="30">
        <f>IF('11. Water - Capex Input'!$I130=F$3,'11. Water - Capex Input'!$G130,IF(E147&gt;1,E147-1,0))</f>
        <v>8</v>
      </c>
      <c r="G147" s="30">
        <f>IF('11. Water - Capex Input'!$I130=G$3,'11. Water - Capex Input'!$G130,IF(F147&gt;1,F147-1,0))</f>
        <v>7</v>
      </c>
      <c r="H147" s="30">
        <f>IF('11. Water - Capex Input'!$I130=H$3,'11. Water - Capex Input'!$G130,IF(G147&gt;1,G147-1,0))</f>
        <v>6</v>
      </c>
    </row>
    <row r="148" spans="2:8">
      <c r="B148" s="152">
        <f>'11. Water - Capex Input'!F131</f>
        <v>0</v>
      </c>
      <c r="D148" s="30">
        <f>IF('11. Water - Capex Input'!$I131=D$3,'11. Water - Capex Input'!$G131,IF(C148&gt;1,C148-1,0))</f>
        <v>0</v>
      </c>
      <c r="E148" s="30">
        <f>IF('11. Water - Capex Input'!$I131=E$3,'11. Water - Capex Input'!$G131,IF(D148&gt;1,D148-1,0))</f>
        <v>10</v>
      </c>
      <c r="F148" s="30">
        <f>IF('11. Water - Capex Input'!$I131=F$3,'11. Water - Capex Input'!$G131,IF(E148&gt;1,E148-1,0))</f>
        <v>9</v>
      </c>
      <c r="G148" s="30">
        <f>IF('11. Water - Capex Input'!$I131=G$3,'11. Water - Capex Input'!$G131,IF(F148&gt;1,F148-1,0))</f>
        <v>8</v>
      </c>
      <c r="H148" s="30">
        <f>IF('11. Water - Capex Input'!$I131=H$3,'11. Water - Capex Input'!$G131,IF(G148&gt;1,G148-1,0))</f>
        <v>7</v>
      </c>
    </row>
    <row r="149" spans="2:8">
      <c r="B149" s="152">
        <f>'11. Water - Capex Input'!F132</f>
        <v>0</v>
      </c>
      <c r="D149" s="30">
        <f>IF('11. Water - Capex Input'!$I132=D$3,'11. Water - Capex Input'!$G132,IF(C149&gt;1,C149-1,0))</f>
        <v>40</v>
      </c>
      <c r="E149" s="30">
        <f>IF('11. Water - Capex Input'!$I132=E$3,'11. Water - Capex Input'!$G132,IF(D149&gt;1,D149-1,0))</f>
        <v>39</v>
      </c>
      <c r="F149" s="30">
        <f>IF('11. Water - Capex Input'!$I132=F$3,'11. Water - Capex Input'!$G132,IF(E149&gt;1,E149-1,0))</f>
        <v>38</v>
      </c>
      <c r="G149" s="30">
        <f>IF('11. Water - Capex Input'!$I132=G$3,'11. Water - Capex Input'!$G132,IF(F149&gt;1,F149-1,0))</f>
        <v>37</v>
      </c>
      <c r="H149" s="30">
        <f>IF('11. Water - Capex Input'!$I132=H$3,'11. Water - Capex Input'!$G132,IF(G149&gt;1,G149-1,0))</f>
        <v>36</v>
      </c>
    </row>
    <row r="150" spans="2:8">
      <c r="B150" s="152">
        <f>'11. Water - Capex Input'!F133</f>
        <v>0</v>
      </c>
      <c r="D150" s="30">
        <f>IF('11. Water - Capex Input'!$I133=D$3,'11. Water - Capex Input'!$G133,IF(C150&gt;1,C150-1,0))</f>
        <v>0</v>
      </c>
      <c r="E150" s="30">
        <f>IF('11. Water - Capex Input'!$I133=E$3,'11. Water - Capex Input'!$G133,IF(D150&gt;1,D150-1,0))</f>
        <v>40</v>
      </c>
      <c r="F150" s="30">
        <f>IF('11. Water - Capex Input'!$I133=F$3,'11. Water - Capex Input'!$G133,IF(E150&gt;1,E150-1,0))</f>
        <v>39</v>
      </c>
      <c r="G150" s="30">
        <f>IF('11. Water - Capex Input'!$I133=G$3,'11. Water - Capex Input'!$G133,IF(F150&gt;1,F150-1,0))</f>
        <v>38</v>
      </c>
      <c r="H150" s="30">
        <f>IF('11. Water - Capex Input'!$I133=H$3,'11. Water - Capex Input'!$G133,IF(G150&gt;1,G150-1,0))</f>
        <v>37</v>
      </c>
    </row>
    <row r="151" spans="2:8">
      <c r="B151" s="152">
        <f>'11. Water - Capex Input'!F134</f>
        <v>0</v>
      </c>
      <c r="D151" s="30">
        <f>IF('11. Water - Capex Input'!$I134=D$3,'11. Water - Capex Input'!$G134,IF(C151&gt;1,C151-1,0))</f>
        <v>30</v>
      </c>
      <c r="E151" s="30">
        <f>IF('11. Water - Capex Input'!$I134=E$3,'11. Water - Capex Input'!$G134,IF(D151&gt;1,D151-1,0))</f>
        <v>29</v>
      </c>
      <c r="F151" s="30">
        <f>IF('11. Water - Capex Input'!$I134=F$3,'11. Water - Capex Input'!$G134,IF(E151&gt;1,E151-1,0))</f>
        <v>28</v>
      </c>
      <c r="G151" s="30">
        <f>IF('11. Water - Capex Input'!$I134=G$3,'11. Water - Capex Input'!$G134,IF(F151&gt;1,F151-1,0))</f>
        <v>27</v>
      </c>
      <c r="H151" s="30">
        <f>IF('11. Water - Capex Input'!$I134=H$3,'11. Water - Capex Input'!$G134,IF(G151&gt;1,G151-1,0))</f>
        <v>26</v>
      </c>
    </row>
    <row r="152" spans="2:8">
      <c r="B152" s="152">
        <f>'11. Water - Capex Input'!F135</f>
        <v>0</v>
      </c>
      <c r="D152" s="30">
        <f>IF('11. Water - Capex Input'!$I135=D$3,'11. Water - Capex Input'!$G135,IF(C152&gt;1,C152-1,0))</f>
        <v>30</v>
      </c>
      <c r="E152" s="30">
        <f>IF('11. Water - Capex Input'!$I135=E$3,'11. Water - Capex Input'!$G135,IF(D152&gt;1,D152-1,0))</f>
        <v>29</v>
      </c>
      <c r="F152" s="30">
        <f>IF('11. Water - Capex Input'!$I135=F$3,'11. Water - Capex Input'!$G135,IF(E152&gt;1,E152-1,0))</f>
        <v>28</v>
      </c>
      <c r="G152" s="30">
        <f>IF('11. Water - Capex Input'!$I135=G$3,'11. Water - Capex Input'!$G135,IF(F152&gt;1,F152-1,0))</f>
        <v>27</v>
      </c>
      <c r="H152" s="30">
        <f>IF('11. Water - Capex Input'!$I135=H$3,'11. Water - Capex Input'!$G135,IF(G152&gt;1,G152-1,0))</f>
        <v>26</v>
      </c>
    </row>
    <row r="153" spans="2:8">
      <c r="B153" s="152">
        <f>'11. Water - Capex Input'!F136</f>
        <v>0</v>
      </c>
      <c r="D153" s="30">
        <f>IF('11. Water - Capex Input'!$I136=D$3,'11. Water - Capex Input'!$G136,IF(C153&gt;1,C153-1,0))</f>
        <v>30</v>
      </c>
      <c r="E153" s="30">
        <f>IF('11. Water - Capex Input'!$I136=E$3,'11. Water - Capex Input'!$G136,IF(D153&gt;1,D153-1,0))</f>
        <v>29</v>
      </c>
      <c r="F153" s="30">
        <f>IF('11. Water - Capex Input'!$I136=F$3,'11. Water - Capex Input'!$G136,IF(E153&gt;1,E153-1,0))</f>
        <v>28</v>
      </c>
      <c r="G153" s="30">
        <f>IF('11. Water - Capex Input'!$I136=G$3,'11. Water - Capex Input'!$G136,IF(F153&gt;1,F153-1,0))</f>
        <v>27</v>
      </c>
      <c r="H153" s="30">
        <f>IF('11. Water - Capex Input'!$I136=H$3,'11. Water - Capex Input'!$G136,IF(G153&gt;1,G153-1,0))</f>
        <v>26</v>
      </c>
    </row>
    <row r="154" spans="2:8">
      <c r="B154" s="152">
        <f>'11. Water - Capex Input'!F137</f>
        <v>0</v>
      </c>
      <c r="D154" s="30">
        <f>IF('11. Water - Capex Input'!$I137=D$3,'11. Water - Capex Input'!$G137,IF(C154&gt;1,C154-1,0))</f>
        <v>0</v>
      </c>
      <c r="E154" s="30">
        <f>IF('11. Water - Capex Input'!$I137=E$3,'11. Water - Capex Input'!$G137,IF(D154&gt;1,D154-1,0))</f>
        <v>30</v>
      </c>
      <c r="F154" s="30">
        <f>IF('11. Water - Capex Input'!$I137=F$3,'11. Water - Capex Input'!$G137,IF(E154&gt;1,E154-1,0))</f>
        <v>29</v>
      </c>
      <c r="G154" s="30">
        <f>IF('11. Water - Capex Input'!$I137=G$3,'11. Water - Capex Input'!$G137,IF(F154&gt;1,F154-1,0))</f>
        <v>28</v>
      </c>
      <c r="H154" s="30">
        <f>IF('11. Water - Capex Input'!$I137=H$3,'11. Water - Capex Input'!$G137,IF(G154&gt;1,G154-1,0))</f>
        <v>27</v>
      </c>
    </row>
    <row r="155" spans="2:8">
      <c r="B155" s="152">
        <f>'11. Water - Capex Input'!F138</f>
        <v>0</v>
      </c>
      <c r="D155" s="30">
        <f>IF('11. Water - Capex Input'!$I138=D$3,'11. Water - Capex Input'!$G138,IF(C155&gt;1,C155-1,0))</f>
        <v>0</v>
      </c>
      <c r="E155" s="30">
        <f>IF('11. Water - Capex Input'!$I138=E$3,'11. Water - Capex Input'!$G138,IF(D155&gt;1,D155-1,0))</f>
        <v>0</v>
      </c>
      <c r="F155" s="30">
        <f>IF('11. Water - Capex Input'!$I138=F$3,'11. Water - Capex Input'!$G138,IF(E155&gt;1,E155-1,0))</f>
        <v>30</v>
      </c>
      <c r="G155" s="30">
        <f>IF('11. Water - Capex Input'!$I138=G$3,'11. Water - Capex Input'!$G138,IF(F155&gt;1,F155-1,0))</f>
        <v>29</v>
      </c>
      <c r="H155" s="30">
        <f>IF('11. Water - Capex Input'!$I138=H$3,'11. Water - Capex Input'!$G138,IF(G155&gt;1,G155-1,0))</f>
        <v>28</v>
      </c>
    </row>
    <row r="156" spans="2:8">
      <c r="B156" s="152">
        <f>'11. Water - Capex Input'!F139</f>
        <v>0</v>
      </c>
      <c r="D156" s="30">
        <f>IF('11. Water - Capex Input'!$I139=D$3,'11. Water - Capex Input'!$G139,IF(C156&gt;1,C156-1,0))</f>
        <v>0</v>
      </c>
      <c r="E156" s="30">
        <f>IF('11. Water - Capex Input'!$I139=E$3,'11. Water - Capex Input'!$G139,IF(D156&gt;1,D156-1,0))</f>
        <v>0</v>
      </c>
      <c r="F156" s="30">
        <f>IF('11. Water - Capex Input'!$I139=F$3,'11. Water - Capex Input'!$G139,IF(E156&gt;1,E156-1,0))</f>
        <v>0</v>
      </c>
      <c r="G156" s="30">
        <f>IF('11. Water - Capex Input'!$I139=G$3,'11. Water - Capex Input'!$G139,IF(F156&gt;1,F156-1,0))</f>
        <v>30</v>
      </c>
      <c r="H156" s="30">
        <f>IF('11. Water - Capex Input'!$I139=H$3,'11. Water - Capex Input'!$G139,IF(G156&gt;1,G156-1,0))</f>
        <v>29</v>
      </c>
    </row>
    <row r="157" spans="2:8">
      <c r="B157" s="152">
        <f>'11. Water - Capex Input'!F140</f>
        <v>0</v>
      </c>
      <c r="D157" s="30">
        <f>IF('11. Water - Capex Input'!$I140=D$3,'11. Water - Capex Input'!$G140,IF(C157&gt;1,C157-1,0))</f>
        <v>0</v>
      </c>
      <c r="E157" s="30">
        <f>IF('11. Water - Capex Input'!$I140=E$3,'11. Water - Capex Input'!$G140,IF(D157&gt;1,D157-1,0))</f>
        <v>0</v>
      </c>
      <c r="F157" s="30">
        <f>IF('11. Water - Capex Input'!$I140=F$3,'11. Water - Capex Input'!$G140,IF(E157&gt;1,E157-1,0))</f>
        <v>0</v>
      </c>
      <c r="G157" s="30">
        <f>IF('11. Water - Capex Input'!$I140=G$3,'11. Water - Capex Input'!$G140,IF(F157&gt;1,F157-1,0))</f>
        <v>0</v>
      </c>
      <c r="H157" s="30">
        <f>IF('11. Water - Capex Input'!$I140=H$3,'11. Water - Capex Input'!$G140,IF(G157&gt;1,G157-1,0))</f>
        <v>30</v>
      </c>
    </row>
    <row r="158" spans="2:8">
      <c r="B158" s="152">
        <f>'11. Water - Capex Input'!F141</f>
        <v>0</v>
      </c>
      <c r="D158" s="30">
        <f>IF('11. Water - Capex Input'!$I141=D$3,'11. Water - Capex Input'!$G141,IF(C158&gt;1,C158-1,0))</f>
        <v>40</v>
      </c>
      <c r="E158" s="30">
        <f>IF('11. Water - Capex Input'!$I141=E$3,'11. Water - Capex Input'!$G141,IF(D158&gt;1,D158-1,0))</f>
        <v>39</v>
      </c>
      <c r="F158" s="30">
        <f>IF('11. Water - Capex Input'!$I141=F$3,'11. Water - Capex Input'!$G141,IF(E158&gt;1,E158-1,0))</f>
        <v>38</v>
      </c>
      <c r="G158" s="30">
        <f>IF('11. Water - Capex Input'!$I141=G$3,'11. Water - Capex Input'!$G141,IF(F158&gt;1,F158-1,0))</f>
        <v>37</v>
      </c>
      <c r="H158" s="30">
        <f>IF('11. Water - Capex Input'!$I141=H$3,'11. Water - Capex Input'!$G141,IF(G158&gt;1,G158-1,0))</f>
        <v>36</v>
      </c>
    </row>
    <row r="159" spans="2:8">
      <c r="B159" s="152">
        <f>'11. Water - Capex Input'!F142</f>
        <v>0</v>
      </c>
      <c r="D159" s="30">
        <f>IF('11. Water - Capex Input'!$I142=D$3,'11. Water - Capex Input'!$G142,IF(C159&gt;1,C159-1,0))</f>
        <v>0</v>
      </c>
      <c r="E159" s="30">
        <f>IF('11. Water - Capex Input'!$I142=E$3,'11. Water - Capex Input'!$G142,IF(D159&gt;1,D159-1,0))</f>
        <v>40</v>
      </c>
      <c r="F159" s="30">
        <f>IF('11. Water - Capex Input'!$I142=F$3,'11. Water - Capex Input'!$G142,IF(E159&gt;1,E159-1,0))</f>
        <v>39</v>
      </c>
      <c r="G159" s="30">
        <f>IF('11. Water - Capex Input'!$I142=G$3,'11. Water - Capex Input'!$G142,IF(F159&gt;1,F159-1,0))</f>
        <v>38</v>
      </c>
      <c r="H159" s="30">
        <f>IF('11. Water - Capex Input'!$I142=H$3,'11. Water - Capex Input'!$G142,IF(G159&gt;1,G159-1,0))</f>
        <v>37</v>
      </c>
    </row>
    <row r="160" spans="2:8">
      <c r="B160" s="152">
        <f>'11. Water - Capex Input'!F143</f>
        <v>0</v>
      </c>
      <c r="D160" s="30">
        <f>IF('11. Water - Capex Input'!$I143=D$3,'11. Water - Capex Input'!$G143,IF(C160&gt;1,C160-1,0))</f>
        <v>15</v>
      </c>
      <c r="E160" s="30">
        <f>IF('11. Water - Capex Input'!$I143=E$3,'11. Water - Capex Input'!$G143,IF(D160&gt;1,D160-1,0))</f>
        <v>14</v>
      </c>
      <c r="F160" s="30">
        <f>IF('11. Water - Capex Input'!$I143=F$3,'11. Water - Capex Input'!$G143,IF(E160&gt;1,E160-1,0))</f>
        <v>13</v>
      </c>
      <c r="G160" s="30">
        <f>IF('11. Water - Capex Input'!$I143=G$3,'11. Water - Capex Input'!$G143,IF(F160&gt;1,F160-1,0))</f>
        <v>12</v>
      </c>
      <c r="H160" s="30">
        <f>IF('11. Water - Capex Input'!$I143=H$3,'11. Water - Capex Input'!$G143,IF(G160&gt;1,G160-1,0))</f>
        <v>11</v>
      </c>
    </row>
    <row r="161" spans="2:8">
      <c r="B161" s="152">
        <f>'11. Water - Capex Input'!F144</f>
        <v>0</v>
      </c>
      <c r="D161" s="30">
        <f>IF('11. Water - Capex Input'!$I144=D$3,'11. Water - Capex Input'!$G144,IF(C161&gt;1,C161-1,0))</f>
        <v>0</v>
      </c>
      <c r="E161" s="30">
        <f>IF('11. Water - Capex Input'!$I144=E$3,'11. Water - Capex Input'!$G144,IF(D161&gt;1,D161-1,0))</f>
        <v>80</v>
      </c>
      <c r="F161" s="30">
        <f>IF('11. Water - Capex Input'!$I144=F$3,'11. Water - Capex Input'!$G144,IF(E161&gt;1,E161-1,0))</f>
        <v>79</v>
      </c>
      <c r="G161" s="30">
        <f>IF('11. Water - Capex Input'!$I144=G$3,'11. Water - Capex Input'!$G144,IF(F161&gt;1,F161-1,0))</f>
        <v>78</v>
      </c>
      <c r="H161" s="30">
        <f>IF('11. Water - Capex Input'!$I144=H$3,'11. Water - Capex Input'!$G144,IF(G161&gt;1,G161-1,0))</f>
        <v>77</v>
      </c>
    </row>
    <row r="162" spans="2:8">
      <c r="B162" s="152">
        <f>'11. Water - Capex Input'!F145</f>
        <v>0</v>
      </c>
      <c r="D162" s="30">
        <f>IF('11. Water - Capex Input'!$I145=D$3,'11. Water - Capex Input'!$G145,IF(C162&gt;1,C162-1,0))</f>
        <v>40</v>
      </c>
      <c r="E162" s="30">
        <f>IF('11. Water - Capex Input'!$I145=E$3,'11. Water - Capex Input'!$G145,IF(D162&gt;1,D162-1,0))</f>
        <v>39</v>
      </c>
      <c r="F162" s="30">
        <f>IF('11. Water - Capex Input'!$I145=F$3,'11. Water - Capex Input'!$G145,IF(E162&gt;1,E162-1,0))</f>
        <v>38</v>
      </c>
      <c r="G162" s="30">
        <f>IF('11. Water - Capex Input'!$I145=G$3,'11. Water - Capex Input'!$G145,IF(F162&gt;1,F162-1,0))</f>
        <v>37</v>
      </c>
      <c r="H162" s="30">
        <f>IF('11. Water - Capex Input'!$I145=H$3,'11. Water - Capex Input'!$G145,IF(G162&gt;1,G162-1,0))</f>
        <v>36</v>
      </c>
    </row>
    <row r="163" spans="2:8">
      <c r="B163" s="152">
        <f>'11. Water - Capex Input'!F146</f>
        <v>0</v>
      </c>
      <c r="D163" s="30">
        <f>IF('11. Water - Capex Input'!$I146=D$3,'11. Water - Capex Input'!$G146,IF(C163&gt;1,C163-1,0))</f>
        <v>0</v>
      </c>
      <c r="E163" s="30">
        <f>IF('11. Water - Capex Input'!$I146=E$3,'11. Water - Capex Input'!$G146,IF(D163&gt;1,D163-1,0))</f>
        <v>60</v>
      </c>
      <c r="F163" s="30">
        <f>IF('11. Water - Capex Input'!$I146=F$3,'11. Water - Capex Input'!$G146,IF(E163&gt;1,E163-1,0))</f>
        <v>59</v>
      </c>
      <c r="G163" s="30">
        <f>IF('11. Water - Capex Input'!$I146=G$3,'11. Water - Capex Input'!$G146,IF(F163&gt;1,F163-1,0))</f>
        <v>58</v>
      </c>
      <c r="H163" s="30">
        <f>IF('11. Water - Capex Input'!$I146=H$3,'11. Water - Capex Input'!$G146,IF(G163&gt;1,G163-1,0))</f>
        <v>57</v>
      </c>
    </row>
    <row r="164" spans="2:8">
      <c r="B164" s="152">
        <f>'11. Water - Capex Input'!F147</f>
        <v>0</v>
      </c>
      <c r="D164" s="30">
        <f>IF('11. Water - Capex Input'!$I147=D$3,'11. Water - Capex Input'!$G147,IF(C164&gt;1,C164-1,0))</f>
        <v>0</v>
      </c>
      <c r="E164" s="30">
        <f>IF('11. Water - Capex Input'!$I147=E$3,'11. Water - Capex Input'!$G147,IF(D164&gt;1,D164-1,0))</f>
        <v>10</v>
      </c>
      <c r="F164" s="30">
        <f>IF('11. Water - Capex Input'!$I147=F$3,'11. Water - Capex Input'!$G147,IF(E164&gt;1,E164-1,0))</f>
        <v>9</v>
      </c>
      <c r="G164" s="30">
        <f>IF('11. Water - Capex Input'!$I147=G$3,'11. Water - Capex Input'!$G147,IF(F164&gt;1,F164-1,0))</f>
        <v>8</v>
      </c>
      <c r="H164" s="30">
        <f>IF('11. Water - Capex Input'!$I147=H$3,'11. Water - Capex Input'!$G147,IF(G164&gt;1,G164-1,0))</f>
        <v>7</v>
      </c>
    </row>
    <row r="165" spans="2:8">
      <c r="B165" s="152">
        <f>'11. Water - Capex Input'!F148</f>
        <v>0</v>
      </c>
      <c r="D165" s="30">
        <f>IF('11. Water - Capex Input'!$I148=D$3,'11. Water - Capex Input'!$G148,IF(C165&gt;1,C165-1,0))</f>
        <v>15</v>
      </c>
      <c r="E165" s="30">
        <f>IF('11. Water - Capex Input'!$I148=E$3,'11. Water - Capex Input'!$G148,IF(D165&gt;1,D165-1,0))</f>
        <v>14</v>
      </c>
      <c r="F165" s="30">
        <f>IF('11. Water - Capex Input'!$I148=F$3,'11. Water - Capex Input'!$G148,IF(E165&gt;1,E165-1,0))</f>
        <v>13</v>
      </c>
      <c r="G165" s="30">
        <f>IF('11. Water - Capex Input'!$I148=G$3,'11. Water - Capex Input'!$G148,IF(F165&gt;1,F165-1,0))</f>
        <v>12</v>
      </c>
      <c r="H165" s="30">
        <f>IF('11. Water - Capex Input'!$I148=H$3,'11. Water - Capex Input'!$G148,IF(G165&gt;1,G165-1,0))</f>
        <v>11</v>
      </c>
    </row>
    <row r="166" spans="2:8">
      <c r="B166" s="152">
        <f>'11. Water - Capex Input'!F149</f>
        <v>0</v>
      </c>
      <c r="D166" s="30">
        <f>IF('11. Water - Capex Input'!$I149=D$3,'11. Water - Capex Input'!$G149,IF(C166&gt;1,C166-1,0))</f>
        <v>0</v>
      </c>
      <c r="E166" s="30">
        <f>IF('11. Water - Capex Input'!$I149=E$3,'11. Water - Capex Input'!$G149,IF(D166&gt;1,D166-1,0))</f>
        <v>15</v>
      </c>
      <c r="F166" s="30">
        <f>IF('11. Water - Capex Input'!$I149=F$3,'11. Water - Capex Input'!$G149,IF(E166&gt;1,E166-1,0))</f>
        <v>14</v>
      </c>
      <c r="G166" s="30">
        <f>IF('11. Water - Capex Input'!$I149=G$3,'11. Water - Capex Input'!$G149,IF(F166&gt;1,F166-1,0))</f>
        <v>13</v>
      </c>
      <c r="H166" s="30">
        <f>IF('11. Water - Capex Input'!$I149=H$3,'11. Water - Capex Input'!$G149,IF(G166&gt;1,G166-1,0))</f>
        <v>12</v>
      </c>
    </row>
    <row r="167" spans="2:8">
      <c r="B167" s="152">
        <f>'11. Water - Capex Input'!F150</f>
        <v>0</v>
      </c>
      <c r="D167" s="30">
        <f>IF('11. Water - Capex Input'!$I150=D$3,'11. Water - Capex Input'!$G150,IF(C167&gt;1,C167-1,0))</f>
        <v>40</v>
      </c>
      <c r="E167" s="30">
        <f>IF('11. Water - Capex Input'!$I150=E$3,'11. Water - Capex Input'!$G150,IF(D167&gt;1,D167-1,0))</f>
        <v>39</v>
      </c>
      <c r="F167" s="30">
        <f>IF('11. Water - Capex Input'!$I150=F$3,'11. Water - Capex Input'!$G150,IF(E167&gt;1,E167-1,0))</f>
        <v>38</v>
      </c>
      <c r="G167" s="30">
        <f>IF('11. Water - Capex Input'!$I150=G$3,'11. Water - Capex Input'!$G150,IF(F167&gt;1,F167-1,0))</f>
        <v>37</v>
      </c>
      <c r="H167" s="30">
        <f>IF('11. Water - Capex Input'!$I150=H$3,'11. Water - Capex Input'!$G150,IF(G167&gt;1,G167-1,0))</f>
        <v>36</v>
      </c>
    </row>
    <row r="168" spans="2:8">
      <c r="B168" s="152">
        <f>'11. Water - Capex Input'!F151</f>
        <v>0</v>
      </c>
      <c r="D168" s="30">
        <f>IF('11. Water - Capex Input'!$I151=D$3,'11. Water - Capex Input'!$G151,IF(C168&gt;1,C168-1,0))</f>
        <v>0</v>
      </c>
      <c r="E168" s="30">
        <f>IF('11. Water - Capex Input'!$I151=E$3,'11. Water - Capex Input'!$G151,IF(D168&gt;1,D168-1,0))</f>
        <v>40</v>
      </c>
      <c r="F168" s="30">
        <f>IF('11. Water - Capex Input'!$I151=F$3,'11. Water - Capex Input'!$G151,IF(E168&gt;1,E168-1,0))</f>
        <v>39</v>
      </c>
      <c r="G168" s="30">
        <f>IF('11. Water - Capex Input'!$I151=G$3,'11. Water - Capex Input'!$G151,IF(F168&gt;1,F168-1,0))</f>
        <v>38</v>
      </c>
      <c r="H168" s="30">
        <f>IF('11. Water - Capex Input'!$I151=H$3,'11. Water - Capex Input'!$G151,IF(G168&gt;1,G168-1,0))</f>
        <v>37</v>
      </c>
    </row>
    <row r="169" spans="2:8">
      <c r="B169" s="152">
        <f>'11. Water - Capex Input'!F152</f>
        <v>0</v>
      </c>
      <c r="D169" s="30">
        <f>IF('11. Water - Capex Input'!$I152=D$3,'11. Water - Capex Input'!$G152,IF(C169&gt;1,C169-1,0))</f>
        <v>60</v>
      </c>
      <c r="E169" s="30">
        <f>IF('11. Water - Capex Input'!$I152=E$3,'11. Water - Capex Input'!$G152,IF(D169&gt;1,D169-1,0))</f>
        <v>59</v>
      </c>
      <c r="F169" s="30">
        <f>IF('11. Water - Capex Input'!$I152=F$3,'11. Water - Capex Input'!$G152,IF(E169&gt;1,E169-1,0))</f>
        <v>58</v>
      </c>
      <c r="G169" s="30">
        <f>IF('11. Water - Capex Input'!$I152=G$3,'11. Water - Capex Input'!$G152,IF(F169&gt;1,F169-1,0))</f>
        <v>57</v>
      </c>
      <c r="H169" s="30">
        <f>IF('11. Water - Capex Input'!$I152=H$3,'11. Water - Capex Input'!$G152,IF(G169&gt;1,G169-1,0))</f>
        <v>56</v>
      </c>
    </row>
    <row r="170" spans="2:8">
      <c r="B170" s="152">
        <f>'11. Water - Capex Input'!F153</f>
        <v>0</v>
      </c>
      <c r="D170" s="30">
        <f>IF('11. Water - Capex Input'!$I153=D$3,'11. Water - Capex Input'!$G153,IF(C170&gt;1,C170-1,0))</f>
        <v>0</v>
      </c>
      <c r="E170" s="30">
        <f>IF('11. Water - Capex Input'!$I153=E$3,'11. Water - Capex Input'!$G153,IF(D170&gt;1,D170-1,0))</f>
        <v>60</v>
      </c>
      <c r="F170" s="30">
        <f>IF('11. Water - Capex Input'!$I153=F$3,'11. Water - Capex Input'!$G153,IF(E170&gt;1,E170-1,0))</f>
        <v>59</v>
      </c>
      <c r="G170" s="30">
        <f>IF('11. Water - Capex Input'!$I153=G$3,'11. Water - Capex Input'!$G153,IF(F170&gt;1,F170-1,0))</f>
        <v>58</v>
      </c>
      <c r="H170" s="30">
        <f>IF('11. Water - Capex Input'!$I153=H$3,'11. Water - Capex Input'!$G153,IF(G170&gt;1,G170-1,0))</f>
        <v>57</v>
      </c>
    </row>
    <row r="171" spans="2:8">
      <c r="B171" s="152">
        <f>'11. Water - Capex Input'!F154</f>
        <v>0</v>
      </c>
      <c r="D171" s="30">
        <f>IF('11. Water - Capex Input'!$I154=D$3,'11. Water - Capex Input'!$G154,IF(C171&gt;1,C171-1,0))</f>
        <v>0</v>
      </c>
      <c r="E171" s="30">
        <f>IF('11. Water - Capex Input'!$I154=E$3,'11. Water - Capex Input'!$G154,IF(D171&gt;1,D171-1,0))</f>
        <v>60</v>
      </c>
      <c r="F171" s="30">
        <f>IF('11. Water - Capex Input'!$I154=F$3,'11. Water - Capex Input'!$G154,IF(E171&gt;1,E171-1,0))</f>
        <v>59</v>
      </c>
      <c r="G171" s="30">
        <f>IF('11. Water - Capex Input'!$I154=G$3,'11. Water - Capex Input'!$G154,IF(F171&gt;1,F171-1,0))</f>
        <v>58</v>
      </c>
      <c r="H171" s="30">
        <f>IF('11. Water - Capex Input'!$I154=H$3,'11. Water - Capex Input'!$G154,IF(G171&gt;1,G171-1,0))</f>
        <v>57</v>
      </c>
    </row>
    <row r="172" spans="2:8">
      <c r="B172" s="152">
        <f>'11. Water - Capex Input'!F155</f>
        <v>0</v>
      </c>
      <c r="D172" s="30">
        <f>IF('11. Water - Capex Input'!$I155=D$3,'11. Water - Capex Input'!$G155,IF(C172&gt;1,C172-1,0))</f>
        <v>5</v>
      </c>
      <c r="E172" s="30">
        <f>IF('11. Water - Capex Input'!$I155=E$3,'11. Water - Capex Input'!$G155,IF(D172&gt;1,D172-1,0))</f>
        <v>4</v>
      </c>
      <c r="F172" s="30">
        <f>IF('11. Water - Capex Input'!$I155=F$3,'11. Water - Capex Input'!$G155,IF(E172&gt;1,E172-1,0))</f>
        <v>3</v>
      </c>
      <c r="G172" s="30">
        <f>IF('11. Water - Capex Input'!$I155=G$3,'11. Water - Capex Input'!$G155,IF(F172&gt;1,F172-1,0))</f>
        <v>2</v>
      </c>
      <c r="H172" s="30">
        <f>IF('11. Water - Capex Input'!$I155=H$3,'11. Water - Capex Input'!$G155,IF(G172&gt;1,G172-1,0))</f>
        <v>1</v>
      </c>
    </row>
    <row r="173" spans="2:8">
      <c r="B173" s="152">
        <f>'11. Water - Capex Input'!F156</f>
        <v>0</v>
      </c>
      <c r="D173" s="30">
        <f>IF('11. Water - Capex Input'!$I156=D$3,'11. Water - Capex Input'!$G156,IF(C173&gt;1,C173-1,0))</f>
        <v>0</v>
      </c>
      <c r="E173" s="30">
        <f>IF('11. Water - Capex Input'!$I156=E$3,'11. Water - Capex Input'!$G156,IF(D173&gt;1,D173-1,0))</f>
        <v>5</v>
      </c>
      <c r="F173" s="30">
        <f>IF('11. Water - Capex Input'!$I156=F$3,'11. Water - Capex Input'!$G156,IF(E173&gt;1,E173-1,0))</f>
        <v>4</v>
      </c>
      <c r="G173" s="30">
        <f>IF('11. Water - Capex Input'!$I156=G$3,'11. Water - Capex Input'!$G156,IF(F173&gt;1,F173-1,0))</f>
        <v>3</v>
      </c>
      <c r="H173" s="30">
        <f>IF('11. Water - Capex Input'!$I156=H$3,'11. Water - Capex Input'!$G156,IF(G173&gt;1,G173-1,0))</f>
        <v>2</v>
      </c>
    </row>
    <row r="174" spans="2:8">
      <c r="B174" s="152">
        <f>'11. Water - Capex Input'!F157</f>
        <v>0</v>
      </c>
      <c r="D174" s="30">
        <f>IF('11. Water - Capex Input'!$I157=D$3,'11. Water - Capex Input'!$G157,IF(C174&gt;1,C174-1,0))</f>
        <v>0</v>
      </c>
      <c r="E174" s="30">
        <f>IF('11. Water - Capex Input'!$I157=E$3,'11. Water - Capex Input'!$G157,IF(D174&gt;1,D174-1,0))</f>
        <v>20</v>
      </c>
      <c r="F174" s="30">
        <f>IF('11. Water - Capex Input'!$I157=F$3,'11. Water - Capex Input'!$G157,IF(E174&gt;1,E174-1,0))</f>
        <v>19</v>
      </c>
      <c r="G174" s="30">
        <f>IF('11. Water - Capex Input'!$I157=G$3,'11. Water - Capex Input'!$G157,IF(F174&gt;1,F174-1,0))</f>
        <v>18</v>
      </c>
      <c r="H174" s="30">
        <f>IF('11. Water - Capex Input'!$I157=H$3,'11. Water - Capex Input'!$G157,IF(G174&gt;1,G174-1,0))</f>
        <v>17</v>
      </c>
    </row>
    <row r="175" spans="2:8">
      <c r="B175" s="152">
        <f>'11. Water - Capex Input'!F158</f>
        <v>0</v>
      </c>
      <c r="D175" s="30">
        <f>IF('11. Water - Capex Input'!$I158=D$3,'11. Water - Capex Input'!$G158,IF(C175&gt;1,C175-1,0))</f>
        <v>40</v>
      </c>
      <c r="E175" s="30">
        <f>IF('11. Water - Capex Input'!$I158=E$3,'11. Water - Capex Input'!$G158,IF(D175&gt;1,D175-1,0))</f>
        <v>39</v>
      </c>
      <c r="F175" s="30">
        <f>IF('11. Water - Capex Input'!$I158=F$3,'11. Water - Capex Input'!$G158,IF(E175&gt;1,E175-1,0))</f>
        <v>38</v>
      </c>
      <c r="G175" s="30">
        <f>IF('11. Water - Capex Input'!$I158=G$3,'11. Water - Capex Input'!$G158,IF(F175&gt;1,F175-1,0))</f>
        <v>37</v>
      </c>
      <c r="H175" s="30">
        <f>IF('11. Water - Capex Input'!$I158=H$3,'11. Water - Capex Input'!$G158,IF(G175&gt;1,G175-1,0))</f>
        <v>36</v>
      </c>
    </row>
    <row r="176" spans="2:8">
      <c r="B176" s="152">
        <f>'11. Water - Capex Input'!F159</f>
        <v>0</v>
      </c>
      <c r="D176" s="30">
        <f>IF('11. Water - Capex Input'!$I159=D$3,'11. Water - Capex Input'!$G159,IF(C176&gt;1,C176-1,0))</f>
        <v>0</v>
      </c>
      <c r="E176" s="30">
        <f>IF('11. Water - Capex Input'!$I159=E$3,'11. Water - Capex Input'!$G159,IF(D176&gt;1,D176-1,0))</f>
        <v>40</v>
      </c>
      <c r="F176" s="30">
        <f>IF('11. Water - Capex Input'!$I159=F$3,'11. Water - Capex Input'!$G159,IF(E176&gt;1,E176-1,0))</f>
        <v>39</v>
      </c>
      <c r="G176" s="30">
        <f>IF('11. Water - Capex Input'!$I159=G$3,'11. Water - Capex Input'!$G159,IF(F176&gt;1,F176-1,0))</f>
        <v>38</v>
      </c>
      <c r="H176" s="30">
        <f>IF('11. Water - Capex Input'!$I159=H$3,'11. Water - Capex Input'!$G159,IF(G176&gt;1,G176-1,0))</f>
        <v>37</v>
      </c>
    </row>
    <row r="177" spans="2:8">
      <c r="B177" s="152">
        <f>'11. Water - Capex Input'!F160</f>
        <v>0</v>
      </c>
      <c r="D177" s="30">
        <f>IF('11. Water - Capex Input'!$I160=D$3,'11. Water - Capex Input'!$G160,IF(C177&gt;1,C177-1,0))</f>
        <v>0</v>
      </c>
      <c r="E177" s="30">
        <f>IF('11. Water - Capex Input'!$I160=E$3,'11. Water - Capex Input'!$G160,IF(D177&gt;1,D177-1,0))</f>
        <v>40</v>
      </c>
      <c r="F177" s="30">
        <f>IF('11. Water - Capex Input'!$I160=F$3,'11. Water - Capex Input'!$G160,IF(E177&gt;1,E177-1,0))</f>
        <v>39</v>
      </c>
      <c r="G177" s="30">
        <f>IF('11. Water - Capex Input'!$I160=G$3,'11. Water - Capex Input'!$G160,IF(F177&gt;1,F177-1,0))</f>
        <v>38</v>
      </c>
      <c r="H177" s="30">
        <f>IF('11. Water - Capex Input'!$I160=H$3,'11. Water - Capex Input'!$G160,IF(G177&gt;1,G177-1,0))</f>
        <v>37</v>
      </c>
    </row>
    <row r="178" spans="2:8">
      <c r="B178" s="152">
        <f>'11. Water - Capex Input'!F161</f>
        <v>0</v>
      </c>
      <c r="D178" s="30">
        <f>IF('11. Water - Capex Input'!$I161=D$3,'11. Water - Capex Input'!$G161,IF(C178&gt;1,C178-1,0))</f>
        <v>0</v>
      </c>
      <c r="E178" s="30">
        <f>IF('11. Water - Capex Input'!$I161=E$3,'11. Water - Capex Input'!$G161,IF(D178&gt;1,D178-1,0))</f>
        <v>40</v>
      </c>
      <c r="F178" s="30">
        <f>IF('11. Water - Capex Input'!$I161=F$3,'11. Water - Capex Input'!$G161,IF(E178&gt;1,E178-1,0))</f>
        <v>39</v>
      </c>
      <c r="G178" s="30">
        <f>IF('11. Water - Capex Input'!$I161=G$3,'11. Water - Capex Input'!$G161,IF(F178&gt;1,F178-1,0))</f>
        <v>38</v>
      </c>
      <c r="H178" s="30">
        <f>IF('11. Water - Capex Input'!$I161=H$3,'11. Water - Capex Input'!$G161,IF(G178&gt;1,G178-1,0))</f>
        <v>37</v>
      </c>
    </row>
    <row r="179" spans="2:8">
      <c r="B179" s="152">
        <f>'11. Water - Capex Input'!F162</f>
        <v>0</v>
      </c>
      <c r="D179" s="30">
        <f>IF('11. Water - Capex Input'!$I162=D$3,'11. Water - Capex Input'!$G162,IF(C179&gt;1,C179-1,0))</f>
        <v>0</v>
      </c>
      <c r="E179" s="30">
        <f>IF('11. Water - Capex Input'!$I162=E$3,'11. Water - Capex Input'!$G162,IF(D179&gt;1,D179-1,0))</f>
        <v>10</v>
      </c>
      <c r="F179" s="30">
        <f>IF('11. Water - Capex Input'!$I162=F$3,'11. Water - Capex Input'!$G162,IF(E179&gt;1,E179-1,0))</f>
        <v>9</v>
      </c>
      <c r="G179" s="30">
        <f>IF('11. Water - Capex Input'!$I162=G$3,'11. Water - Capex Input'!$G162,IF(F179&gt;1,F179-1,0))</f>
        <v>8</v>
      </c>
      <c r="H179" s="30">
        <f>IF('11. Water - Capex Input'!$I162=H$3,'11. Water - Capex Input'!$G162,IF(G179&gt;1,G179-1,0))</f>
        <v>7</v>
      </c>
    </row>
    <row r="180" spans="2:8">
      <c r="B180" s="152">
        <f>'11. Water - Capex Input'!F163</f>
        <v>0</v>
      </c>
      <c r="D180" s="30">
        <f>IF('11. Water - Capex Input'!$I163=D$3,'11. Water - Capex Input'!$G163,IF(C180&gt;1,C180-1,0))</f>
        <v>0</v>
      </c>
      <c r="E180" s="30">
        <f>IF('11. Water - Capex Input'!$I163=E$3,'11. Water - Capex Input'!$G163,IF(D180&gt;1,D180-1,0))</f>
        <v>40</v>
      </c>
      <c r="F180" s="30">
        <f>IF('11. Water - Capex Input'!$I163=F$3,'11. Water - Capex Input'!$G163,IF(E180&gt;1,E180-1,0))</f>
        <v>39</v>
      </c>
      <c r="G180" s="30">
        <f>IF('11. Water - Capex Input'!$I163=G$3,'11. Water - Capex Input'!$G163,IF(F180&gt;1,F180-1,0))</f>
        <v>38</v>
      </c>
      <c r="H180" s="30">
        <f>IF('11. Water - Capex Input'!$I163=H$3,'11. Water - Capex Input'!$G163,IF(G180&gt;1,G180-1,0))</f>
        <v>37</v>
      </c>
    </row>
    <row r="181" spans="2:8">
      <c r="B181" s="152">
        <f>'11. Water - Capex Input'!F164</f>
        <v>0</v>
      </c>
      <c r="D181" s="30">
        <f>IF('11. Water - Capex Input'!$I164=D$3,'11. Water - Capex Input'!$G164,IF(C181&gt;1,C181-1,0))</f>
        <v>150</v>
      </c>
      <c r="E181" s="30">
        <f>IF('11. Water - Capex Input'!$I164=E$3,'11. Water - Capex Input'!$G164,IF(D181&gt;1,D181-1,0))</f>
        <v>149</v>
      </c>
      <c r="F181" s="30">
        <f>IF('11. Water - Capex Input'!$I164=F$3,'11. Water - Capex Input'!$G164,IF(E181&gt;1,E181-1,0))</f>
        <v>148</v>
      </c>
      <c r="G181" s="30">
        <f>IF('11. Water - Capex Input'!$I164=G$3,'11. Water - Capex Input'!$G164,IF(F181&gt;1,F181-1,0))</f>
        <v>147</v>
      </c>
      <c r="H181" s="30">
        <f>IF('11. Water - Capex Input'!$I164=H$3,'11. Water - Capex Input'!$G164,IF(G181&gt;1,G181-1,0))</f>
        <v>146</v>
      </c>
    </row>
    <row r="182" spans="2:8">
      <c r="B182" s="152">
        <f>'11. Water - Capex Input'!F165</f>
        <v>0</v>
      </c>
      <c r="D182" s="30">
        <f>IF('11. Water - Capex Input'!$I165=D$3,'11. Water - Capex Input'!$G165,IF(C182&gt;1,C182-1,0))</f>
        <v>150</v>
      </c>
      <c r="E182" s="30">
        <f>IF('11. Water - Capex Input'!$I165=E$3,'11. Water - Capex Input'!$G165,IF(D182&gt;1,D182-1,0))</f>
        <v>149</v>
      </c>
      <c r="F182" s="30">
        <f>IF('11. Water - Capex Input'!$I165=F$3,'11. Water - Capex Input'!$G165,IF(E182&gt;1,E182-1,0))</f>
        <v>148</v>
      </c>
      <c r="G182" s="30">
        <f>IF('11. Water - Capex Input'!$I165=G$3,'11. Water - Capex Input'!$G165,IF(F182&gt;1,F182-1,0))</f>
        <v>147</v>
      </c>
      <c r="H182" s="30">
        <f>IF('11. Water - Capex Input'!$I165=H$3,'11. Water - Capex Input'!$G165,IF(G182&gt;1,G182-1,0))</f>
        <v>146</v>
      </c>
    </row>
    <row r="183" spans="2:8">
      <c r="B183" s="152">
        <f>'11. Water - Capex Input'!F166</f>
        <v>0</v>
      </c>
      <c r="D183" s="30">
        <f>IF('11. Water - Capex Input'!$I166=D$3,'11. Water - Capex Input'!$G166,IF(C183&gt;1,C183-1,0))</f>
        <v>30</v>
      </c>
      <c r="E183" s="30">
        <f>IF('11. Water - Capex Input'!$I166=E$3,'11. Water - Capex Input'!$G166,IF(D183&gt;1,D183-1,0))</f>
        <v>29</v>
      </c>
      <c r="F183" s="30">
        <f>IF('11. Water - Capex Input'!$I166=F$3,'11. Water - Capex Input'!$G166,IF(E183&gt;1,E183-1,0))</f>
        <v>28</v>
      </c>
      <c r="G183" s="30">
        <f>IF('11. Water - Capex Input'!$I166=G$3,'11. Water - Capex Input'!$G166,IF(F183&gt;1,F183-1,0))</f>
        <v>27</v>
      </c>
      <c r="H183" s="30">
        <f>IF('11. Water - Capex Input'!$I166=H$3,'11. Water - Capex Input'!$G166,IF(G183&gt;1,G183-1,0))</f>
        <v>26</v>
      </c>
    </row>
    <row r="184" spans="2:8">
      <c r="B184" s="152">
        <f>'11. Water - Capex Input'!F167</f>
        <v>0</v>
      </c>
      <c r="D184" s="30">
        <f>IF('11. Water - Capex Input'!$I167=D$3,'11. Water - Capex Input'!$G167,IF(C184&gt;1,C184-1,0))</f>
        <v>20</v>
      </c>
      <c r="E184" s="30">
        <f>IF('11. Water - Capex Input'!$I167=E$3,'11. Water - Capex Input'!$G167,IF(D184&gt;1,D184-1,0))</f>
        <v>19</v>
      </c>
      <c r="F184" s="30">
        <f>IF('11. Water - Capex Input'!$I167=F$3,'11. Water - Capex Input'!$G167,IF(E184&gt;1,E184-1,0))</f>
        <v>18</v>
      </c>
      <c r="G184" s="30">
        <f>IF('11. Water - Capex Input'!$I167=G$3,'11. Water - Capex Input'!$G167,IF(F184&gt;1,F184-1,0))</f>
        <v>17</v>
      </c>
      <c r="H184" s="30">
        <f>IF('11. Water - Capex Input'!$I167=H$3,'11. Water - Capex Input'!$G167,IF(G184&gt;1,G184-1,0))</f>
        <v>16</v>
      </c>
    </row>
    <row r="185" spans="2:8">
      <c r="B185" s="152">
        <f>'11. Water - Capex Input'!F168</f>
        <v>0</v>
      </c>
      <c r="D185" s="30">
        <f>IF('11. Water - Capex Input'!$I168=D$3,'11. Water - Capex Input'!$G168,IF(C185&gt;1,C185-1,0))</f>
        <v>10</v>
      </c>
      <c r="E185" s="30">
        <f>IF('11. Water - Capex Input'!$I168=E$3,'11. Water - Capex Input'!$G168,IF(D185&gt;1,D185-1,0))</f>
        <v>9</v>
      </c>
      <c r="F185" s="30">
        <f>IF('11. Water - Capex Input'!$I168=F$3,'11. Water - Capex Input'!$G168,IF(E185&gt;1,E185-1,0))</f>
        <v>8</v>
      </c>
      <c r="G185" s="30">
        <f>IF('11. Water - Capex Input'!$I168=G$3,'11. Water - Capex Input'!$G168,IF(F185&gt;1,F185-1,0))</f>
        <v>7</v>
      </c>
      <c r="H185" s="30">
        <f>IF('11. Water - Capex Input'!$I168=H$3,'11. Water - Capex Input'!$G168,IF(G185&gt;1,G185-1,0))</f>
        <v>6</v>
      </c>
    </row>
    <row r="186" spans="2:8">
      <c r="B186" s="152">
        <f>'11. Water - Capex Input'!F169</f>
        <v>0</v>
      </c>
      <c r="D186" s="30">
        <f>IF('11. Water - Capex Input'!$I169=D$3,'11. Water - Capex Input'!$G169,IF(C186&gt;1,C186-1,0))</f>
        <v>20</v>
      </c>
      <c r="E186" s="30">
        <f>IF('11. Water - Capex Input'!$I169=E$3,'11. Water - Capex Input'!$G169,IF(D186&gt;1,D186-1,0))</f>
        <v>19</v>
      </c>
      <c r="F186" s="30">
        <f>IF('11. Water - Capex Input'!$I169=F$3,'11. Water - Capex Input'!$G169,IF(E186&gt;1,E186-1,0))</f>
        <v>18</v>
      </c>
      <c r="G186" s="30">
        <f>IF('11. Water - Capex Input'!$I169=G$3,'11. Water - Capex Input'!$G169,IF(F186&gt;1,F186-1,0))</f>
        <v>17</v>
      </c>
      <c r="H186" s="30">
        <f>IF('11. Water - Capex Input'!$I169=H$3,'11. Water - Capex Input'!$G169,IF(G186&gt;1,G186-1,0))</f>
        <v>16</v>
      </c>
    </row>
    <row r="187" spans="2:8">
      <c r="B187" s="152">
        <f>'11. Water - Capex Input'!F170</f>
        <v>0</v>
      </c>
      <c r="D187" s="30">
        <f>IF('11. Water - Capex Input'!$I170=D$3,'11. Water - Capex Input'!$G170,IF(C187&gt;1,C187-1,0))</f>
        <v>30</v>
      </c>
      <c r="E187" s="30">
        <f>IF('11. Water - Capex Input'!$I170=E$3,'11. Water - Capex Input'!$G170,IF(D187&gt;1,D187-1,0))</f>
        <v>29</v>
      </c>
      <c r="F187" s="30">
        <f>IF('11. Water - Capex Input'!$I170=F$3,'11. Water - Capex Input'!$G170,IF(E187&gt;1,E187-1,0))</f>
        <v>28</v>
      </c>
      <c r="G187" s="30">
        <f>IF('11. Water - Capex Input'!$I170=G$3,'11. Water - Capex Input'!$G170,IF(F187&gt;1,F187-1,0))</f>
        <v>27</v>
      </c>
      <c r="H187" s="30">
        <f>IF('11. Water - Capex Input'!$I170=H$3,'11. Water - Capex Input'!$G170,IF(G187&gt;1,G187-1,0))</f>
        <v>26</v>
      </c>
    </row>
    <row r="188" spans="2:8">
      <c r="B188" s="152">
        <f>'11. Water - Capex Input'!F171</f>
        <v>0</v>
      </c>
      <c r="D188" s="30">
        <f>IF('11. Water - Capex Input'!$I171=D$3,'11. Water - Capex Input'!$G171,IF(C188&gt;1,C188-1,0))</f>
        <v>30</v>
      </c>
      <c r="E188" s="30">
        <f>IF('11. Water - Capex Input'!$I171=E$3,'11. Water - Capex Input'!$G171,IF(D188&gt;1,D188-1,0))</f>
        <v>29</v>
      </c>
      <c r="F188" s="30">
        <f>IF('11. Water - Capex Input'!$I171=F$3,'11. Water - Capex Input'!$G171,IF(E188&gt;1,E188-1,0))</f>
        <v>28</v>
      </c>
      <c r="G188" s="30">
        <f>IF('11. Water - Capex Input'!$I171=G$3,'11. Water - Capex Input'!$G171,IF(F188&gt;1,F188-1,0))</f>
        <v>27</v>
      </c>
      <c r="H188" s="30">
        <f>IF('11. Water - Capex Input'!$I171=H$3,'11. Water - Capex Input'!$G171,IF(G188&gt;1,G188-1,0))</f>
        <v>26</v>
      </c>
    </row>
    <row r="189" spans="2:8">
      <c r="B189" s="152">
        <f>'11. Water - Capex Input'!F172</f>
        <v>0</v>
      </c>
      <c r="D189" s="30">
        <f>IF('11. Water - Capex Input'!$I172=D$3,'11. Water - Capex Input'!$G172,IF(C189&gt;1,C189-1,0))</f>
        <v>20</v>
      </c>
      <c r="E189" s="30">
        <f>IF('11. Water - Capex Input'!$I172=E$3,'11. Water - Capex Input'!$G172,IF(D189&gt;1,D189-1,0))</f>
        <v>19</v>
      </c>
      <c r="F189" s="30">
        <f>IF('11. Water - Capex Input'!$I172=F$3,'11. Water - Capex Input'!$G172,IF(E189&gt;1,E189-1,0))</f>
        <v>18</v>
      </c>
      <c r="G189" s="30">
        <f>IF('11. Water - Capex Input'!$I172=G$3,'11. Water - Capex Input'!$G172,IF(F189&gt;1,F189-1,0))</f>
        <v>17</v>
      </c>
      <c r="H189" s="30">
        <f>IF('11. Water - Capex Input'!$I172=H$3,'11. Water - Capex Input'!$G172,IF(G189&gt;1,G189-1,0))</f>
        <v>16</v>
      </c>
    </row>
    <row r="190" spans="2:8">
      <c r="B190" s="152">
        <f>'11. Water - Capex Input'!F173</f>
        <v>0</v>
      </c>
      <c r="D190" s="30">
        <f>IF('11. Water - Capex Input'!$I173=D$3,'11. Water - Capex Input'!$G173,IF(C190&gt;1,C190-1,0))</f>
        <v>20</v>
      </c>
      <c r="E190" s="30">
        <f>IF('11. Water - Capex Input'!$I173=E$3,'11. Water - Capex Input'!$G173,IF(D190&gt;1,D190-1,0))</f>
        <v>19</v>
      </c>
      <c r="F190" s="30">
        <f>IF('11. Water - Capex Input'!$I173=F$3,'11. Water - Capex Input'!$G173,IF(E190&gt;1,E190-1,0))</f>
        <v>18</v>
      </c>
      <c r="G190" s="30">
        <f>IF('11. Water - Capex Input'!$I173=G$3,'11. Water - Capex Input'!$G173,IF(F190&gt;1,F190-1,0))</f>
        <v>17</v>
      </c>
      <c r="H190" s="30">
        <f>IF('11. Water - Capex Input'!$I173=H$3,'11. Water - Capex Input'!$G173,IF(G190&gt;1,G190-1,0))</f>
        <v>16</v>
      </c>
    </row>
    <row r="191" spans="2:8">
      <c r="B191" s="152">
        <f>'11. Water - Capex Input'!F174</f>
        <v>0</v>
      </c>
      <c r="D191" s="30">
        <f>IF('11. Water - Capex Input'!$I174=D$3,'11. Water - Capex Input'!$G174,IF(C191&gt;1,C191-1,0))</f>
        <v>100</v>
      </c>
      <c r="E191" s="30">
        <f>IF('11. Water - Capex Input'!$I174=E$3,'11. Water - Capex Input'!$G174,IF(D191&gt;1,D191-1,0))</f>
        <v>99</v>
      </c>
      <c r="F191" s="30">
        <f>IF('11. Water - Capex Input'!$I174=F$3,'11. Water - Capex Input'!$G174,IF(E191&gt;1,E191-1,0))</f>
        <v>98</v>
      </c>
      <c r="G191" s="30">
        <f>IF('11. Water - Capex Input'!$I174=G$3,'11. Water - Capex Input'!$G174,IF(F191&gt;1,F191-1,0))</f>
        <v>97</v>
      </c>
      <c r="H191" s="30">
        <f>IF('11. Water - Capex Input'!$I174=H$3,'11. Water - Capex Input'!$G174,IF(G191&gt;1,G191-1,0))</f>
        <v>96</v>
      </c>
    </row>
    <row r="192" spans="2:8">
      <c r="B192" s="152">
        <f>'11. Water - Capex Input'!F175</f>
        <v>0</v>
      </c>
      <c r="D192" s="30">
        <f>IF('11. Water - Capex Input'!$I175=D$3,'11. Water - Capex Input'!$G175,IF(C192&gt;1,C192-1,0))</f>
        <v>100</v>
      </c>
      <c r="E192" s="30">
        <f>IF('11. Water - Capex Input'!$I175=E$3,'11. Water - Capex Input'!$G175,IF(D192&gt;1,D192-1,0))</f>
        <v>99</v>
      </c>
      <c r="F192" s="30">
        <f>IF('11. Water - Capex Input'!$I175=F$3,'11. Water - Capex Input'!$G175,IF(E192&gt;1,E192-1,0))</f>
        <v>98</v>
      </c>
      <c r="G192" s="30">
        <f>IF('11. Water - Capex Input'!$I175=G$3,'11. Water - Capex Input'!$G175,IF(F192&gt;1,F192-1,0))</f>
        <v>97</v>
      </c>
      <c r="H192" s="30">
        <f>IF('11. Water - Capex Input'!$I175=H$3,'11. Water - Capex Input'!$G175,IF(G192&gt;1,G192-1,0))</f>
        <v>96</v>
      </c>
    </row>
    <row r="193" spans="2:8">
      <c r="B193" s="152">
        <f>'11. Water - Capex Input'!F176</f>
        <v>0</v>
      </c>
      <c r="D193" s="30">
        <f>IF('11. Water - Capex Input'!$I176=D$3,'11. Water - Capex Input'!$G176,IF(C193&gt;1,C193-1,0))</f>
        <v>10</v>
      </c>
      <c r="E193" s="30">
        <f>IF('11. Water - Capex Input'!$I176=E$3,'11. Water - Capex Input'!$G176,IF(D193&gt;1,D193-1,0))</f>
        <v>9</v>
      </c>
      <c r="F193" s="30">
        <f>IF('11. Water - Capex Input'!$I176=F$3,'11. Water - Capex Input'!$G176,IF(E193&gt;1,E193-1,0))</f>
        <v>8</v>
      </c>
      <c r="G193" s="30">
        <f>IF('11. Water - Capex Input'!$I176=G$3,'11. Water - Capex Input'!$G176,IF(F193&gt;1,F193-1,0))</f>
        <v>7</v>
      </c>
      <c r="H193" s="30">
        <f>IF('11. Water - Capex Input'!$I176=H$3,'11. Water - Capex Input'!$G176,IF(G193&gt;1,G193-1,0))</f>
        <v>6</v>
      </c>
    </row>
    <row r="194" spans="2:8">
      <c r="B194" s="152">
        <f>'11. Water - Capex Input'!F177</f>
        <v>0</v>
      </c>
      <c r="D194" s="30">
        <f>IF('11. Water - Capex Input'!$I177=D$3,'11. Water - Capex Input'!$G177,IF(C194&gt;1,C194-1,0))</f>
        <v>25</v>
      </c>
      <c r="E194" s="30">
        <f>IF('11. Water - Capex Input'!$I177=E$3,'11. Water - Capex Input'!$G177,IF(D194&gt;1,D194-1,0))</f>
        <v>24</v>
      </c>
      <c r="F194" s="30">
        <f>IF('11. Water - Capex Input'!$I177=F$3,'11. Water - Capex Input'!$G177,IF(E194&gt;1,E194-1,0))</f>
        <v>23</v>
      </c>
      <c r="G194" s="30">
        <f>IF('11. Water - Capex Input'!$I177=G$3,'11. Water - Capex Input'!$G177,IF(F194&gt;1,F194-1,0))</f>
        <v>22</v>
      </c>
      <c r="H194" s="30">
        <f>IF('11. Water - Capex Input'!$I177=H$3,'11. Water - Capex Input'!$G177,IF(G194&gt;1,G194-1,0))</f>
        <v>21</v>
      </c>
    </row>
    <row r="195" spans="2:8">
      <c r="B195" s="152">
        <f>'11. Water - Capex Input'!F178</f>
        <v>0</v>
      </c>
      <c r="D195" s="30">
        <f>IF('11. Water - Capex Input'!$I178=D$3,'11. Water - Capex Input'!$G178,IF(C195&gt;1,C195-1,0))</f>
        <v>150</v>
      </c>
      <c r="E195" s="30">
        <f>IF('11. Water - Capex Input'!$I178=E$3,'11. Water - Capex Input'!$G178,IF(D195&gt;1,D195-1,0))</f>
        <v>149</v>
      </c>
      <c r="F195" s="30">
        <f>IF('11. Water - Capex Input'!$I178=F$3,'11. Water - Capex Input'!$G178,IF(E195&gt;1,E195-1,0))</f>
        <v>148</v>
      </c>
      <c r="G195" s="30">
        <f>IF('11. Water - Capex Input'!$I178=G$3,'11. Water - Capex Input'!$G178,IF(F195&gt;1,F195-1,0))</f>
        <v>147</v>
      </c>
      <c r="H195" s="30">
        <f>IF('11. Water - Capex Input'!$I178=H$3,'11. Water - Capex Input'!$G178,IF(G195&gt;1,G195-1,0))</f>
        <v>146</v>
      </c>
    </row>
    <row r="196" spans="2:8">
      <c r="B196" s="152">
        <f>'11. Water - Capex Input'!F179</f>
        <v>0</v>
      </c>
      <c r="D196" s="30">
        <f>IF('11. Water - Capex Input'!$I179=D$3,'11. Water - Capex Input'!$G179,IF(C196&gt;1,C196-1,0))</f>
        <v>100</v>
      </c>
      <c r="E196" s="30">
        <f>IF('11. Water - Capex Input'!$I179=E$3,'11. Water - Capex Input'!$G179,IF(D196&gt;1,D196-1,0))</f>
        <v>99</v>
      </c>
      <c r="F196" s="30">
        <f>IF('11. Water - Capex Input'!$I179=F$3,'11. Water - Capex Input'!$G179,IF(E196&gt;1,E196-1,0))</f>
        <v>98</v>
      </c>
      <c r="G196" s="30">
        <f>IF('11. Water - Capex Input'!$I179=G$3,'11. Water - Capex Input'!$G179,IF(F196&gt;1,F196-1,0))</f>
        <v>97</v>
      </c>
      <c r="H196" s="30">
        <f>IF('11. Water - Capex Input'!$I179=H$3,'11. Water - Capex Input'!$G179,IF(G196&gt;1,G196-1,0))</f>
        <v>96</v>
      </c>
    </row>
    <row r="197" spans="2:8">
      <c r="B197" s="152">
        <f>'11. Water - Capex Input'!F180</f>
        <v>0</v>
      </c>
      <c r="D197" s="30">
        <f>IF('11. Water - Capex Input'!$I180=D$3,'11. Water - Capex Input'!$G180,IF(C197&gt;1,C197-1,0))</f>
        <v>80</v>
      </c>
      <c r="E197" s="30">
        <f>IF('11. Water - Capex Input'!$I180=E$3,'11. Water - Capex Input'!$G180,IF(D197&gt;1,D197-1,0))</f>
        <v>79</v>
      </c>
      <c r="F197" s="30">
        <f>IF('11. Water - Capex Input'!$I180=F$3,'11. Water - Capex Input'!$G180,IF(E197&gt;1,E197-1,0))</f>
        <v>78</v>
      </c>
      <c r="G197" s="30">
        <f>IF('11. Water - Capex Input'!$I180=G$3,'11. Water - Capex Input'!$G180,IF(F197&gt;1,F197-1,0))</f>
        <v>77</v>
      </c>
      <c r="H197" s="30">
        <f>IF('11. Water - Capex Input'!$I180=H$3,'11. Water - Capex Input'!$G180,IF(G197&gt;1,G197-1,0))</f>
        <v>76</v>
      </c>
    </row>
    <row r="198" spans="2:8">
      <c r="B198" s="152">
        <f>'11. Water - Capex Input'!F181</f>
        <v>0</v>
      </c>
      <c r="D198" s="30">
        <f>IF('11. Water - Capex Input'!$I181=D$3,'11. Water - Capex Input'!$G181,IF(C198&gt;1,C198-1,0))</f>
        <v>60</v>
      </c>
      <c r="E198" s="30">
        <f>IF('11. Water - Capex Input'!$I181=E$3,'11. Water - Capex Input'!$G181,IF(D198&gt;1,D198-1,0))</f>
        <v>59</v>
      </c>
      <c r="F198" s="30">
        <f>IF('11. Water - Capex Input'!$I181=F$3,'11. Water - Capex Input'!$G181,IF(E198&gt;1,E198-1,0))</f>
        <v>58</v>
      </c>
      <c r="G198" s="30">
        <f>IF('11. Water - Capex Input'!$I181=G$3,'11. Water - Capex Input'!$G181,IF(F198&gt;1,F198-1,0))</f>
        <v>57</v>
      </c>
      <c r="H198" s="30">
        <f>IF('11. Water - Capex Input'!$I181=H$3,'11. Water - Capex Input'!$G181,IF(G198&gt;1,G198-1,0))</f>
        <v>56</v>
      </c>
    </row>
    <row r="199" spans="2:8">
      <c r="B199" s="152">
        <f>'11. Water - Capex Input'!F182</f>
        <v>0</v>
      </c>
      <c r="D199" s="30">
        <f>IF('11. Water - Capex Input'!$I182=D$3,'11. Water - Capex Input'!$G182,IF(C199&gt;1,C199-1,0))</f>
        <v>30</v>
      </c>
      <c r="E199" s="30">
        <f>IF('11. Water - Capex Input'!$I182=E$3,'11. Water - Capex Input'!$G182,IF(D199&gt;1,D199-1,0))</f>
        <v>29</v>
      </c>
      <c r="F199" s="30">
        <f>IF('11. Water - Capex Input'!$I182=F$3,'11. Water - Capex Input'!$G182,IF(E199&gt;1,E199-1,0))</f>
        <v>28</v>
      </c>
      <c r="G199" s="30">
        <f>IF('11. Water - Capex Input'!$I182=G$3,'11. Water - Capex Input'!$G182,IF(F199&gt;1,F199-1,0))</f>
        <v>27</v>
      </c>
      <c r="H199" s="30">
        <f>IF('11. Water - Capex Input'!$I182=H$3,'11. Water - Capex Input'!$G182,IF(G199&gt;1,G199-1,0))</f>
        <v>26</v>
      </c>
    </row>
    <row r="200" spans="2:8">
      <c r="B200" s="152">
        <f>'11. Water - Capex Input'!F183</f>
        <v>0</v>
      </c>
      <c r="D200" s="30">
        <f>IF('11. Water - Capex Input'!$I183=D$3,'11. Water - Capex Input'!$G183,IF(C200&gt;1,C200-1,0))</f>
        <v>30</v>
      </c>
      <c r="E200" s="30">
        <f>IF('11. Water - Capex Input'!$I183=E$3,'11. Water - Capex Input'!$G183,IF(D200&gt;1,D200-1,0))</f>
        <v>29</v>
      </c>
      <c r="F200" s="30">
        <f>IF('11. Water - Capex Input'!$I183=F$3,'11. Water - Capex Input'!$G183,IF(E200&gt;1,E200-1,0))</f>
        <v>28</v>
      </c>
      <c r="G200" s="30">
        <f>IF('11. Water - Capex Input'!$I183=G$3,'11. Water - Capex Input'!$G183,IF(F200&gt;1,F200-1,0))</f>
        <v>27</v>
      </c>
      <c r="H200" s="30">
        <f>IF('11. Water - Capex Input'!$I183=H$3,'11. Water - Capex Input'!$G183,IF(G200&gt;1,G200-1,0))</f>
        <v>26</v>
      </c>
    </row>
    <row r="201" spans="2:8">
      <c r="B201" s="152">
        <f>'11. Water - Capex Input'!F184</f>
        <v>0</v>
      </c>
      <c r="D201" s="30">
        <f>IF('11. Water - Capex Input'!$I184=D$3,'11. Water - Capex Input'!$G184,IF(C201&gt;1,C201-1,0))</f>
        <v>80</v>
      </c>
      <c r="E201" s="30">
        <f>IF('11. Water - Capex Input'!$I184=E$3,'11. Water - Capex Input'!$G184,IF(D201&gt;1,D201-1,0))</f>
        <v>79</v>
      </c>
      <c r="F201" s="30">
        <f>IF('11. Water - Capex Input'!$I184=F$3,'11. Water - Capex Input'!$G184,IF(E201&gt;1,E201-1,0))</f>
        <v>78</v>
      </c>
      <c r="G201" s="30">
        <f>IF('11. Water - Capex Input'!$I184=G$3,'11. Water - Capex Input'!$G184,IF(F201&gt;1,F201-1,0))</f>
        <v>77</v>
      </c>
      <c r="H201" s="30">
        <f>IF('11. Water - Capex Input'!$I184=H$3,'11. Water - Capex Input'!$G184,IF(G201&gt;1,G201-1,0))</f>
        <v>76</v>
      </c>
    </row>
    <row r="202" spans="2:8">
      <c r="B202" s="152">
        <f>'11. Water - Capex Input'!F185</f>
        <v>0</v>
      </c>
      <c r="D202" s="30">
        <f>IF('11. Water - Capex Input'!$I185=D$3,'11. Water - Capex Input'!$G185,IF(C202&gt;1,C202-1,0))</f>
        <v>10</v>
      </c>
      <c r="E202" s="30">
        <f>IF('11. Water - Capex Input'!$I185=E$3,'11. Water - Capex Input'!$G185,IF(D202&gt;1,D202-1,0))</f>
        <v>9</v>
      </c>
      <c r="F202" s="30">
        <f>IF('11. Water - Capex Input'!$I185=F$3,'11. Water - Capex Input'!$G185,IF(E202&gt;1,E202-1,0))</f>
        <v>8</v>
      </c>
      <c r="G202" s="30">
        <f>IF('11. Water - Capex Input'!$I185=G$3,'11. Water - Capex Input'!$G185,IF(F202&gt;1,F202-1,0))</f>
        <v>7</v>
      </c>
      <c r="H202" s="30">
        <f>IF('11. Water - Capex Input'!$I185=H$3,'11. Water - Capex Input'!$G185,IF(G202&gt;1,G202-1,0))</f>
        <v>6</v>
      </c>
    </row>
    <row r="203" spans="2:8">
      <c r="B203" s="2" t="str">
        <f>'11. Water - Capex Input'!F186</f>
        <v>Carndo Year 4 Reduction</v>
      </c>
      <c r="D203" s="30">
        <f>IF('11. Water - Capex Input'!$I186=D$3,'11. Water - Capex Input'!$G186,IF(C203&gt;1,C203-1,0))</f>
        <v>0</v>
      </c>
      <c r="E203" s="30">
        <f>IF('11. Water - Capex Input'!$I186=E$3,'11. Water - Capex Input'!$G186,IF(D203&gt;1,D203-1,0))</f>
        <v>0</v>
      </c>
      <c r="F203" s="30">
        <f>IF('11. Water - Capex Input'!$I186=F$3,'11. Water - Capex Input'!$G186,IF(E203&gt;1,E203-1,0))</f>
        <v>0</v>
      </c>
      <c r="G203" s="30">
        <f>IF('11. Water - Capex Input'!$I186=G$3,'11. Water - Capex Input'!$G186,IF(F203&gt;1,F203-1,0))</f>
        <v>34.086098305848935</v>
      </c>
      <c r="H203" s="30">
        <f>IF('11. Water - Capex Input'!$I186=H$3,'11. Water - Capex Input'!$G186,IF(G203&gt;1,G203-1,0))</f>
        <v>33.086098305848935</v>
      </c>
    </row>
    <row r="204" spans="2:8">
      <c r="B204" s="2" t="str">
        <f>'11. Water - Capex Input'!F187</f>
        <v>Carndo Year 5 Reduction</v>
      </c>
      <c r="D204" s="30">
        <f>IF('11. Water - Capex Input'!$I187=D$3,'11. Water - Capex Input'!$G187,IF(C204&gt;1,C204-1,0))</f>
        <v>0</v>
      </c>
      <c r="E204" s="30">
        <f>IF('11. Water - Capex Input'!$I187=E$3,'11. Water - Capex Input'!$G187,IF(D204&gt;1,D204-1,0))</f>
        <v>0</v>
      </c>
      <c r="F204" s="30">
        <f>IF('11. Water - Capex Input'!$I187=F$3,'11. Water - Capex Input'!$G187,IF(E204&gt;1,E204-1,0))</f>
        <v>0</v>
      </c>
      <c r="G204" s="30">
        <f>IF('11. Water - Capex Input'!$I187=G$3,'11. Water - Capex Input'!$G187,IF(F204&gt;1,F204-1,0))</f>
        <v>0</v>
      </c>
      <c r="H204" s="30">
        <f>IF('11. Water - Capex Input'!$I187=H$3,'11. Water - Capex Input'!$G187,IF(G204&gt;1,G204-1,0))</f>
        <v>34.086098305848942</v>
      </c>
    </row>
    <row r="205" spans="2:8">
      <c r="D205" s="30"/>
      <c r="E205" s="30"/>
      <c r="F205" s="30"/>
      <c r="G205" s="30"/>
      <c r="H205" s="30"/>
    </row>
    <row r="206" spans="2:8" ht="15.75">
      <c r="B206" s="10" t="s">
        <v>116</v>
      </c>
      <c r="D206" s="30"/>
      <c r="E206" s="30"/>
      <c r="F206" s="30"/>
      <c r="G206" s="30"/>
      <c r="H206" s="30"/>
    </row>
    <row r="207" spans="2:8">
      <c r="B207" s="152">
        <f t="shared" ref="B207:B238" si="7">B22</f>
        <v>0</v>
      </c>
      <c r="D207" s="30"/>
      <c r="E207" s="30">
        <f ca="1">D1137</f>
        <v>166196.53250729165</v>
      </c>
      <c r="F207" s="30">
        <f t="shared" ref="F207:H207" ca="1" si="8">E1137</f>
        <v>167464.13317895745</v>
      </c>
      <c r="G207" s="30">
        <f t="shared" ca="1" si="8"/>
        <v>168691.24105138946</v>
      </c>
      <c r="H207" s="30">
        <f t="shared" ca="1" si="8"/>
        <v>169875.03923420623</v>
      </c>
    </row>
    <row r="208" spans="2:8">
      <c r="B208" s="152">
        <f t="shared" si="7"/>
        <v>0</v>
      </c>
      <c r="D208" s="30"/>
      <c r="E208" s="30">
        <f t="shared" ref="E208:H208" ca="1" si="9">D1138</f>
        <v>0</v>
      </c>
      <c r="F208" s="30">
        <f t="shared" ca="1" si="9"/>
        <v>511000.40996354166</v>
      </c>
      <c r="G208" s="30">
        <f t="shared" ca="1" si="9"/>
        <v>514897.87071750086</v>
      </c>
      <c r="H208" s="30">
        <f t="shared" ca="1" si="9"/>
        <v>518670.82925293088</v>
      </c>
    </row>
    <row r="209" spans="2:8">
      <c r="B209" s="152">
        <f t="shared" si="7"/>
        <v>0</v>
      </c>
      <c r="D209" s="30"/>
      <c r="E209" s="30">
        <f t="shared" ref="E209:H209" ca="1" si="10">D1139</f>
        <v>0</v>
      </c>
      <c r="F209" s="30">
        <f t="shared" ca="1" si="10"/>
        <v>0</v>
      </c>
      <c r="G209" s="30">
        <f t="shared" ca="1" si="10"/>
        <v>105850.8409375</v>
      </c>
      <c r="H209" s="30">
        <f t="shared" ca="1" si="10"/>
        <v>106658.17785990467</v>
      </c>
    </row>
    <row r="210" spans="2:8">
      <c r="B210" s="152">
        <f t="shared" si="7"/>
        <v>0</v>
      </c>
      <c r="D210" s="30"/>
      <c r="E210" s="30">
        <f t="shared" ref="E210:H210" ca="1" si="11">D1140</f>
        <v>96185.36996666668</v>
      </c>
      <c r="F210" s="30">
        <f t="shared" ca="1" si="11"/>
        <v>91547.861057559538</v>
      </c>
      <c r="G210" s="30">
        <f t="shared" ca="1" si="11"/>
        <v>86618.360846767871</v>
      </c>
      <c r="H210" s="30">
        <f t="shared" ca="1" si="11"/>
        <v>81385.168212275647</v>
      </c>
    </row>
    <row r="211" spans="2:8">
      <c r="B211" s="152">
        <f t="shared" si="7"/>
        <v>0</v>
      </c>
      <c r="D211" s="30"/>
      <c r="E211" s="30">
        <f t="shared" ref="E211:H211" ca="1" si="12">D1141</f>
        <v>0</v>
      </c>
      <c r="F211" s="30">
        <f t="shared" ca="1" si="12"/>
        <v>4137.4646083333337</v>
      </c>
      <c r="G211" s="30">
        <f t="shared" ca="1" si="12"/>
        <v>3937.979707574405</v>
      </c>
      <c r="H211" s="30">
        <f t="shared" ca="1" si="12"/>
        <v>3725.934646397322</v>
      </c>
    </row>
    <row r="212" spans="2:8">
      <c r="B212" s="152">
        <f t="shared" si="7"/>
        <v>0</v>
      </c>
      <c r="D212" s="30"/>
      <c r="E212" s="30">
        <f t="shared" ref="E212:H212" ca="1" si="13">D1142</f>
        <v>274257.52245833335</v>
      </c>
      <c r="F212" s="30">
        <f t="shared" ca="1" si="13"/>
        <v>276349.31712115114</v>
      </c>
      <c r="G212" s="30">
        <f t="shared" ca="1" si="13"/>
        <v>278374.29056557338</v>
      </c>
      <c r="H212" s="30">
        <f t="shared" ca="1" si="13"/>
        <v>280327.794359016</v>
      </c>
    </row>
    <row r="213" spans="2:8">
      <c r="B213" s="152">
        <f t="shared" si="7"/>
        <v>0</v>
      </c>
      <c r="D213" s="30"/>
      <c r="E213" s="30">
        <f t="shared" ref="E213:H213" ca="1" si="14">D1143</f>
        <v>0</v>
      </c>
      <c r="F213" s="30">
        <f t="shared" ca="1" si="14"/>
        <v>1843421.6009111111</v>
      </c>
      <c r="G213" s="30">
        <f t="shared" ca="1" si="14"/>
        <v>1857481.5961722976</v>
      </c>
      <c r="H213" s="30">
        <f t="shared" ca="1" si="14"/>
        <v>1871092.4526959739</v>
      </c>
    </row>
    <row r="214" spans="2:8">
      <c r="B214" s="152">
        <f t="shared" si="7"/>
        <v>0</v>
      </c>
      <c r="D214" s="30"/>
      <c r="E214" s="30">
        <f t="shared" ref="E214:H214" ca="1" si="15">D1144</f>
        <v>0</v>
      </c>
      <c r="F214" s="30">
        <f t="shared" ca="1" si="15"/>
        <v>0</v>
      </c>
      <c r="G214" s="30">
        <f t="shared" ca="1" si="15"/>
        <v>4367218.75</v>
      </c>
      <c r="H214" s="30">
        <f t="shared" ca="1" si="15"/>
        <v>4400528.0455508474</v>
      </c>
    </row>
    <row r="215" spans="2:8">
      <c r="B215" s="152">
        <f t="shared" si="7"/>
        <v>0</v>
      </c>
      <c r="D215" s="30"/>
      <c r="E215" s="30">
        <f t="shared" ref="E215:H215" ca="1" si="16">D1145</f>
        <v>0</v>
      </c>
      <c r="F215" s="30">
        <f t="shared" ca="1" si="16"/>
        <v>0</v>
      </c>
      <c r="G215" s="30">
        <f t="shared" ca="1" si="16"/>
        <v>523912.50593484874</v>
      </c>
      <c r="H215" s="30">
        <f t="shared" ca="1" si="16"/>
        <v>527908.44877672475</v>
      </c>
    </row>
    <row r="216" spans="2:8">
      <c r="B216" s="152">
        <f t="shared" si="7"/>
        <v>0</v>
      </c>
      <c r="D216" s="30"/>
      <c r="E216" s="30">
        <f t="shared" ref="E216:H216" ca="1" si="17">D1146</f>
        <v>0</v>
      </c>
      <c r="F216" s="30">
        <f t="shared" ca="1" si="17"/>
        <v>0</v>
      </c>
      <c r="G216" s="30">
        <f t="shared" ca="1" si="17"/>
        <v>0</v>
      </c>
      <c r="H216" s="30">
        <f t="shared" ca="1" si="17"/>
        <v>2687738.857550479</v>
      </c>
    </row>
    <row r="217" spans="2:8">
      <c r="B217" s="152">
        <f t="shared" si="7"/>
        <v>0</v>
      </c>
      <c r="D217" s="30"/>
      <c r="E217" s="30">
        <f t="shared" ref="E217:H217" ca="1" si="18">D1147</f>
        <v>0</v>
      </c>
      <c r="F217" s="30">
        <f t="shared" ca="1" si="18"/>
        <v>0</v>
      </c>
      <c r="G217" s="30">
        <f t="shared" ca="1" si="18"/>
        <v>0</v>
      </c>
      <c r="H217" s="30">
        <f t="shared" ca="1" si="18"/>
        <v>0</v>
      </c>
    </row>
    <row r="218" spans="2:8">
      <c r="B218" s="152">
        <f t="shared" si="7"/>
        <v>0</v>
      </c>
      <c r="D218" s="30"/>
      <c r="E218" s="30">
        <f t="shared" ref="E218:H218" ca="1" si="19">D1148</f>
        <v>485316.4546609376</v>
      </c>
      <c r="F218" s="30">
        <f t="shared" ca="1" si="19"/>
        <v>491152.53860939189</v>
      </c>
      <c r="G218" s="30">
        <f t="shared" ca="1" si="19"/>
        <v>496977.10397110588</v>
      </c>
      <c r="H218" s="30">
        <f t="shared" ca="1" si="19"/>
        <v>502785.92726427462</v>
      </c>
    </row>
    <row r="219" spans="2:8">
      <c r="B219" s="152">
        <f t="shared" si="7"/>
        <v>0</v>
      </c>
      <c r="D219" s="30"/>
      <c r="E219" s="30">
        <f t="shared" ref="E219:H219" ca="1" si="20">D1149</f>
        <v>0</v>
      </c>
      <c r="F219" s="30">
        <f t="shared" ca="1" si="20"/>
        <v>413576.82914687501</v>
      </c>
      <c r="G219" s="30">
        <f t="shared" ca="1" si="20"/>
        <v>418550.22139610961</v>
      </c>
      <c r="H219" s="30">
        <f t="shared" ca="1" si="20"/>
        <v>423513.79773958912</v>
      </c>
    </row>
    <row r="220" spans="2:8">
      <c r="B220" s="152">
        <f t="shared" si="7"/>
        <v>0</v>
      </c>
      <c r="D220" s="30"/>
      <c r="E220" s="30">
        <f t="shared" ref="E220:H220" ca="1" si="21">D1150</f>
        <v>0</v>
      </c>
      <c r="F220" s="30">
        <f t="shared" ca="1" si="21"/>
        <v>0</v>
      </c>
      <c r="G220" s="30">
        <f t="shared" ca="1" si="21"/>
        <v>2988796.6665624999</v>
      </c>
      <c r="H220" s="30">
        <f t="shared" ca="1" si="21"/>
        <v>3024737.8922996442</v>
      </c>
    </row>
    <row r="221" spans="2:8">
      <c r="B221" s="152">
        <f t="shared" si="7"/>
        <v>0</v>
      </c>
      <c r="D221" s="30"/>
      <c r="E221" s="30">
        <f t="shared" ref="E221:H221" ca="1" si="22">D1151</f>
        <v>0</v>
      </c>
      <c r="F221" s="30">
        <f t="shared" ca="1" si="22"/>
        <v>0</v>
      </c>
      <c r="G221" s="30">
        <f t="shared" ca="1" si="22"/>
        <v>0</v>
      </c>
      <c r="H221" s="30">
        <f t="shared" ca="1" si="22"/>
        <v>3072877.9334375001</v>
      </c>
    </row>
    <row r="222" spans="2:8">
      <c r="B222" s="152">
        <f t="shared" si="7"/>
        <v>0</v>
      </c>
      <c r="D222" s="30"/>
      <c r="E222" s="30">
        <f t="shared" ref="E222:H222" ca="1" si="23">D1152</f>
        <v>0</v>
      </c>
      <c r="F222" s="30">
        <f t="shared" ca="1" si="23"/>
        <v>0</v>
      </c>
      <c r="G222" s="30">
        <f t="shared" ca="1" si="23"/>
        <v>0</v>
      </c>
      <c r="H222" s="30">
        <f t="shared" ca="1" si="23"/>
        <v>0</v>
      </c>
    </row>
    <row r="223" spans="2:8">
      <c r="B223" s="152">
        <f t="shared" si="7"/>
        <v>0</v>
      </c>
      <c r="D223" s="30"/>
      <c r="E223" s="30">
        <f t="shared" ref="E223:H223" ca="1" si="24">D1153</f>
        <v>2511479.5173125002</v>
      </c>
      <c r="F223" s="30">
        <f t="shared" ca="1" si="24"/>
        <v>2508259.671777484</v>
      </c>
      <c r="G223" s="30">
        <f t="shared" ca="1" si="24"/>
        <v>2503309.1592673971</v>
      </c>
      <c r="H223" s="30">
        <f t="shared" ca="1" si="24"/>
        <v>2496543.4588369448</v>
      </c>
    </row>
    <row r="224" spans="2:8">
      <c r="B224" s="152">
        <f t="shared" si="7"/>
        <v>0</v>
      </c>
      <c r="D224" s="30"/>
      <c r="E224" s="30">
        <f t="shared" ref="E224:H224" ca="1" si="25">D1154</f>
        <v>0</v>
      </c>
      <c r="F224" s="30">
        <f t="shared" ca="1" si="25"/>
        <v>5314527.8808781253</v>
      </c>
      <c r="G224" s="30">
        <f t="shared" ca="1" si="25"/>
        <v>5307714.3835949479</v>
      </c>
      <c r="H224" s="30">
        <f t="shared" ca="1" si="25"/>
        <v>5297238.6315220632</v>
      </c>
    </row>
    <row r="225" spans="2:8">
      <c r="B225" s="152">
        <f t="shared" si="7"/>
        <v>0</v>
      </c>
      <c r="D225" s="30"/>
      <c r="E225" s="30">
        <f t="shared" ref="E225:H225" ca="1" si="26">D1155</f>
        <v>0</v>
      </c>
      <c r="F225" s="30">
        <f t="shared" ca="1" si="26"/>
        <v>0</v>
      </c>
      <c r="G225" s="30">
        <f t="shared" ca="1" si="26"/>
        <v>1368645.9744343746</v>
      </c>
      <c r="H225" s="30">
        <f t="shared" ca="1" si="26"/>
        <v>1366891.3001081767</v>
      </c>
    </row>
    <row r="226" spans="2:8">
      <c r="B226" s="152">
        <f t="shared" si="7"/>
        <v>0</v>
      </c>
      <c r="D226" s="30"/>
      <c r="E226" s="30">
        <f t="shared" ref="E226:H226" ca="1" si="27">D1156</f>
        <v>0</v>
      </c>
      <c r="F226" s="30">
        <f t="shared" ca="1" si="27"/>
        <v>0</v>
      </c>
      <c r="G226" s="30">
        <f t="shared" ca="1" si="27"/>
        <v>1046042.0350908363</v>
      </c>
      <c r="H226" s="30">
        <f t="shared" ca="1" si="27"/>
        <v>1050311.5944177378</v>
      </c>
    </row>
    <row r="227" spans="2:8">
      <c r="B227" s="152">
        <f t="shared" si="7"/>
        <v>0</v>
      </c>
      <c r="D227" s="30"/>
      <c r="E227" s="30">
        <f t="shared" ref="E227:H227" ca="1" si="28">D1157</f>
        <v>0</v>
      </c>
      <c r="F227" s="30">
        <f t="shared" ca="1" si="28"/>
        <v>0</v>
      </c>
      <c r="G227" s="30">
        <f t="shared" ca="1" si="28"/>
        <v>0</v>
      </c>
      <c r="H227" s="30">
        <f t="shared" ca="1" si="28"/>
        <v>3219798.4882931341</v>
      </c>
    </row>
    <row r="228" spans="2:8">
      <c r="B228" s="152">
        <f t="shared" si="7"/>
        <v>0</v>
      </c>
      <c r="D228" s="30"/>
      <c r="E228" s="30">
        <f t="shared" ref="E228:H228" ca="1" si="29">D1158</f>
        <v>0</v>
      </c>
      <c r="F228" s="30">
        <f t="shared" ca="1" si="29"/>
        <v>0</v>
      </c>
      <c r="G228" s="30">
        <f t="shared" ca="1" si="29"/>
        <v>0</v>
      </c>
      <c r="H228" s="30">
        <f t="shared" ca="1" si="29"/>
        <v>0</v>
      </c>
    </row>
    <row r="229" spans="2:8">
      <c r="B229" s="152">
        <f t="shared" si="7"/>
        <v>0</v>
      </c>
      <c r="D229" s="30"/>
      <c r="E229" s="30">
        <f t="shared" ref="E229:H229" ca="1" si="30">D1159</f>
        <v>0</v>
      </c>
      <c r="F229" s="30">
        <f t="shared" ca="1" si="30"/>
        <v>282599.78708333336</v>
      </c>
      <c r="G229" s="30">
        <f t="shared" ca="1" si="30"/>
        <v>279676.34101005748</v>
      </c>
      <c r="H229" s="30">
        <f t="shared" ca="1" si="30"/>
        <v>276430.09776619077</v>
      </c>
    </row>
    <row r="230" spans="2:8">
      <c r="B230" s="152">
        <f t="shared" si="7"/>
        <v>0</v>
      </c>
      <c r="D230" s="30"/>
      <c r="E230" s="30">
        <f t="shared" ref="E230:H230" ca="1" si="31">D1160</f>
        <v>0</v>
      </c>
      <c r="F230" s="30">
        <f t="shared" ca="1" si="31"/>
        <v>0</v>
      </c>
      <c r="G230" s="30">
        <f t="shared" ca="1" si="31"/>
        <v>457755.29458333331</v>
      </c>
      <c r="H230" s="30">
        <f t="shared" ca="1" si="31"/>
        <v>453019.89498419536</v>
      </c>
    </row>
    <row r="231" spans="2:8">
      <c r="B231" s="152">
        <f t="shared" si="7"/>
        <v>0</v>
      </c>
      <c r="D231" s="30"/>
      <c r="E231" s="30">
        <f t="shared" ref="E231:H231" ca="1" si="32">D1161</f>
        <v>0</v>
      </c>
      <c r="F231" s="30">
        <f t="shared" ca="1" si="32"/>
        <v>0</v>
      </c>
      <c r="G231" s="30">
        <f t="shared" ca="1" si="32"/>
        <v>0</v>
      </c>
      <c r="H231" s="30">
        <f t="shared" ca="1" si="32"/>
        <v>3316654.6724999999</v>
      </c>
    </row>
    <row r="232" spans="2:8">
      <c r="B232" s="152">
        <f t="shared" si="7"/>
        <v>0</v>
      </c>
      <c r="D232" s="30"/>
      <c r="E232" s="30">
        <f t="shared" ref="E232:H232" ca="1" si="33">D1162</f>
        <v>0</v>
      </c>
      <c r="F232" s="30">
        <f t="shared" ca="1" si="33"/>
        <v>0</v>
      </c>
      <c r="G232" s="30">
        <f t="shared" ca="1" si="33"/>
        <v>0</v>
      </c>
      <c r="H232" s="30">
        <f t="shared" ca="1" si="33"/>
        <v>0</v>
      </c>
    </row>
    <row r="233" spans="2:8">
      <c r="B233" s="152">
        <f t="shared" si="7"/>
        <v>0</v>
      </c>
      <c r="D233" s="30"/>
      <c r="E233" s="30">
        <f t="shared" ref="E233:H233" ca="1" si="34">D1163</f>
        <v>0</v>
      </c>
      <c r="F233" s="30">
        <f t="shared" ca="1" si="34"/>
        <v>0</v>
      </c>
      <c r="G233" s="30">
        <f t="shared" ca="1" si="34"/>
        <v>3166175.0190625</v>
      </c>
      <c r="H233" s="30">
        <f t="shared" ca="1" si="34"/>
        <v>3204249.2756208465</v>
      </c>
    </row>
    <row r="234" spans="2:8">
      <c r="B234" s="152">
        <f t="shared" si="7"/>
        <v>0</v>
      </c>
      <c r="D234" s="30"/>
      <c r="E234" s="30">
        <f t="shared" ref="E234:H234" ca="1" si="35">D1164</f>
        <v>0</v>
      </c>
      <c r="F234" s="30">
        <f t="shared" ca="1" si="35"/>
        <v>0</v>
      </c>
      <c r="G234" s="30">
        <f t="shared" ca="1" si="35"/>
        <v>0</v>
      </c>
      <c r="H234" s="30">
        <f t="shared" ca="1" si="35"/>
        <v>2767955.0640624999</v>
      </c>
    </row>
    <row r="235" spans="2:8">
      <c r="B235" s="152">
        <f t="shared" si="7"/>
        <v>0</v>
      </c>
      <c r="D235" s="30"/>
      <c r="E235" s="30">
        <f t="shared" ref="E235:H235" ca="1" si="36">D1165</f>
        <v>0</v>
      </c>
      <c r="F235" s="30">
        <f t="shared" ca="1" si="36"/>
        <v>0</v>
      </c>
      <c r="G235" s="30">
        <f t="shared" ca="1" si="36"/>
        <v>0</v>
      </c>
      <c r="H235" s="30">
        <f t="shared" ca="1" si="36"/>
        <v>0</v>
      </c>
    </row>
    <row r="236" spans="2:8">
      <c r="B236" s="152">
        <f t="shared" si="7"/>
        <v>0</v>
      </c>
      <c r="D236" s="30"/>
      <c r="E236" s="30">
        <f t="shared" ref="E236:H236" ca="1" si="37">D1166</f>
        <v>0</v>
      </c>
      <c r="F236" s="30">
        <f t="shared" ca="1" si="37"/>
        <v>199937.5</v>
      </c>
      <c r="G236" s="30">
        <f t="shared" ca="1" si="37"/>
        <v>199681.16987179487</v>
      </c>
      <c r="H236" s="30">
        <f t="shared" ca="1" si="37"/>
        <v>199287.0622996795</v>
      </c>
    </row>
    <row r="237" spans="2:8">
      <c r="B237" s="152">
        <f t="shared" si="7"/>
        <v>0</v>
      </c>
      <c r="D237" s="30"/>
      <c r="E237" s="30">
        <f t="shared" ref="E237:H237" ca="1" si="38">D1167</f>
        <v>0</v>
      </c>
      <c r="F237" s="30">
        <f t="shared" ca="1" si="38"/>
        <v>0</v>
      </c>
      <c r="G237" s="30">
        <f t="shared" ca="1" si="38"/>
        <v>609998.31593749998</v>
      </c>
      <c r="H237" s="30">
        <f t="shared" ca="1" si="38"/>
        <v>609216.26681450324</v>
      </c>
    </row>
    <row r="238" spans="2:8">
      <c r="B238" s="152">
        <f t="shared" si="7"/>
        <v>0</v>
      </c>
      <c r="D238" s="30"/>
      <c r="E238" s="30">
        <f t="shared" ref="E238:H238" ca="1" si="39">D1168</f>
        <v>0</v>
      </c>
      <c r="F238" s="30">
        <f t="shared" ca="1" si="39"/>
        <v>0</v>
      </c>
      <c r="G238" s="30">
        <f t="shared" ca="1" si="39"/>
        <v>0</v>
      </c>
      <c r="H238" s="30">
        <f t="shared" ca="1" si="39"/>
        <v>2384358.6549999998</v>
      </c>
    </row>
    <row r="239" spans="2:8">
      <c r="B239" s="152">
        <f t="shared" ref="B239:B270" si="40">B54</f>
        <v>0</v>
      </c>
      <c r="D239" s="30"/>
      <c r="E239" s="30">
        <f t="shared" ref="E239:H239" ca="1" si="41">D1169</f>
        <v>0</v>
      </c>
      <c r="F239" s="30">
        <f t="shared" ca="1" si="41"/>
        <v>0</v>
      </c>
      <c r="G239" s="30">
        <f t="shared" ca="1" si="41"/>
        <v>0</v>
      </c>
      <c r="H239" s="30">
        <f t="shared" ca="1" si="41"/>
        <v>0</v>
      </c>
    </row>
    <row r="240" spans="2:8">
      <c r="B240" s="152">
        <f t="shared" si="40"/>
        <v>0</v>
      </c>
      <c r="D240" s="30"/>
      <c r="E240" s="30">
        <f t="shared" ref="E240:H240" ca="1" si="42">D1170</f>
        <v>5400591.1810424998</v>
      </c>
      <c r="F240" s="30">
        <f t="shared" ca="1" si="42"/>
        <v>5422634.4103528773</v>
      </c>
      <c r="G240" s="30">
        <f t="shared" ca="1" si="42"/>
        <v>5442404.4316406222</v>
      </c>
      <c r="H240" s="30">
        <f t="shared" ca="1" si="42"/>
        <v>5459773.8074862836</v>
      </c>
    </row>
    <row r="241" spans="2:8">
      <c r="B241" s="152">
        <f t="shared" si="40"/>
        <v>0</v>
      </c>
      <c r="D241" s="30"/>
      <c r="E241" s="30">
        <f t="shared" ref="E241:H241" ca="1" si="43">D1171</f>
        <v>0</v>
      </c>
      <c r="F241" s="30">
        <f t="shared" ca="1" si="43"/>
        <v>850559.56272500008</v>
      </c>
      <c r="G241" s="30">
        <f t="shared" ca="1" si="43"/>
        <v>854031.234409592</v>
      </c>
      <c r="H241" s="30">
        <f t="shared" ca="1" si="43"/>
        <v>857144.88995171024</v>
      </c>
    </row>
    <row r="242" spans="2:8">
      <c r="B242" s="152">
        <f t="shared" si="40"/>
        <v>0</v>
      </c>
      <c r="D242" s="30"/>
      <c r="E242" s="30">
        <f t="shared" ref="E242:H242" ca="1" si="44">D1172</f>
        <v>6061254.1936656255</v>
      </c>
      <c r="F242" s="30">
        <f t="shared" ca="1" si="44"/>
        <v>6134142.6934628701</v>
      </c>
      <c r="G242" s="30">
        <f t="shared" ca="1" si="44"/>
        <v>6206887.3343789354</v>
      </c>
      <c r="H242" s="30">
        <f t="shared" ca="1" si="44"/>
        <v>6279435.3681573905</v>
      </c>
    </row>
    <row r="243" spans="2:8">
      <c r="B243" s="152">
        <f t="shared" si="40"/>
        <v>0</v>
      </c>
      <c r="D243" s="30"/>
      <c r="E243" s="30">
        <f t="shared" ref="E243:H243" ca="1" si="45">D1173</f>
        <v>0</v>
      </c>
      <c r="F243" s="30">
        <f t="shared" ca="1" si="45"/>
        <v>176586.19452499997</v>
      </c>
      <c r="G243" s="30">
        <f t="shared" ca="1" si="45"/>
        <v>178709.69939587024</v>
      </c>
      <c r="H243" s="30">
        <f t="shared" ca="1" si="45"/>
        <v>180829.01313870589</v>
      </c>
    </row>
    <row r="244" spans="2:8">
      <c r="B244" s="152">
        <f t="shared" si="40"/>
        <v>0</v>
      </c>
      <c r="D244" s="30"/>
      <c r="E244" s="30">
        <f t="shared" ref="E244:H244" ca="1" si="46">D1174</f>
        <v>0</v>
      </c>
      <c r="F244" s="30">
        <f t="shared" ca="1" si="46"/>
        <v>0</v>
      </c>
      <c r="G244" s="30">
        <f t="shared" ca="1" si="46"/>
        <v>0</v>
      </c>
      <c r="H244" s="30">
        <f t="shared" ca="1" si="46"/>
        <v>1115038.29125</v>
      </c>
    </row>
    <row r="245" spans="2:8">
      <c r="B245" s="152">
        <f t="shared" si="40"/>
        <v>0</v>
      </c>
      <c r="D245" s="30"/>
      <c r="E245" s="30">
        <f t="shared" ref="E245:H245" ca="1" si="47">D1175</f>
        <v>0</v>
      </c>
      <c r="F245" s="30">
        <f t="shared" ca="1" si="47"/>
        <v>0</v>
      </c>
      <c r="G245" s="30">
        <f t="shared" ca="1" si="47"/>
        <v>0</v>
      </c>
      <c r="H245" s="30">
        <f t="shared" ca="1" si="47"/>
        <v>0</v>
      </c>
    </row>
    <row r="246" spans="2:8">
      <c r="B246" s="152">
        <f t="shared" si="40"/>
        <v>0</v>
      </c>
      <c r="D246" s="30"/>
      <c r="E246" s="30">
        <f t="shared" ref="E246:H246" ca="1" si="48">D1176</f>
        <v>0</v>
      </c>
      <c r="F246" s="30">
        <f t="shared" ca="1" si="48"/>
        <v>0</v>
      </c>
      <c r="G246" s="30">
        <f t="shared" ca="1" si="48"/>
        <v>538691.13416997937</v>
      </c>
      <c r="H246" s="30">
        <f t="shared" ca="1" si="48"/>
        <v>545169.06553025125</v>
      </c>
    </row>
    <row r="247" spans="2:8">
      <c r="B247" s="152">
        <f t="shared" si="40"/>
        <v>0</v>
      </c>
      <c r="D247" s="30"/>
      <c r="E247" s="30">
        <f t="shared" ref="E247:H247" ca="1" si="49">D1177</f>
        <v>0</v>
      </c>
      <c r="F247" s="30">
        <f t="shared" ca="1" si="49"/>
        <v>0</v>
      </c>
      <c r="G247" s="30">
        <f t="shared" ca="1" si="49"/>
        <v>0</v>
      </c>
      <c r="H247" s="30">
        <f t="shared" ca="1" si="49"/>
        <v>2362392.6886813571</v>
      </c>
    </row>
    <row r="248" spans="2:8">
      <c r="B248" s="152">
        <f t="shared" si="40"/>
        <v>0</v>
      </c>
      <c r="D248" s="30"/>
      <c r="E248" s="30">
        <f t="shared" ref="E248:H248" ca="1" si="50">D1178</f>
        <v>0</v>
      </c>
      <c r="F248" s="30">
        <f t="shared" ca="1" si="50"/>
        <v>0</v>
      </c>
      <c r="G248" s="30">
        <f t="shared" ca="1" si="50"/>
        <v>0</v>
      </c>
      <c r="H248" s="30">
        <f t="shared" ca="1" si="50"/>
        <v>0</v>
      </c>
    </row>
    <row r="249" spans="2:8">
      <c r="B249" s="152">
        <f t="shared" si="40"/>
        <v>0</v>
      </c>
      <c r="D249" s="30"/>
      <c r="E249" s="30">
        <f t="shared" ref="E249:H249" ca="1" si="51">D1179</f>
        <v>562754.19434062508</v>
      </c>
      <c r="F249" s="30">
        <f t="shared" ca="1" si="51"/>
        <v>562032.71460429102</v>
      </c>
      <c r="G249" s="30">
        <f t="shared" ca="1" si="51"/>
        <v>560923.43950967735</v>
      </c>
      <c r="H249" s="30">
        <f t="shared" ca="1" si="51"/>
        <v>559407.43021370529</v>
      </c>
    </row>
    <row r="250" spans="2:8">
      <c r="B250" s="152">
        <f t="shared" si="40"/>
        <v>0</v>
      </c>
      <c r="D250" s="30"/>
      <c r="E250" s="30">
        <f t="shared" ref="E250:H250" ca="1" si="52">D1180</f>
        <v>0</v>
      </c>
      <c r="F250" s="30">
        <f t="shared" ca="1" si="52"/>
        <v>2564544.6692687497</v>
      </c>
      <c r="G250" s="30">
        <f t="shared" ca="1" si="52"/>
        <v>2561256.7914876356</v>
      </c>
      <c r="H250" s="30">
        <f t="shared" ca="1" si="52"/>
        <v>2556201.6793991732</v>
      </c>
    </row>
    <row r="251" spans="2:8">
      <c r="B251" s="152">
        <f t="shared" si="40"/>
        <v>0</v>
      </c>
      <c r="D251" s="30"/>
      <c r="E251" s="30">
        <f t="shared" ref="E251:H251" ca="1" si="53">D1181</f>
        <v>0</v>
      </c>
      <c r="F251" s="30">
        <f t="shared" ca="1" si="53"/>
        <v>0</v>
      </c>
      <c r="G251" s="30">
        <f t="shared" ca="1" si="53"/>
        <v>2009871.71875</v>
      </c>
      <c r="H251" s="30">
        <f t="shared" ca="1" si="53"/>
        <v>2007294.960136218</v>
      </c>
    </row>
    <row r="252" spans="2:8">
      <c r="B252" s="152">
        <f t="shared" si="40"/>
        <v>0</v>
      </c>
      <c r="D252" s="30"/>
      <c r="E252" s="30">
        <f t="shared" ref="E252:H252" ca="1" si="54">D1182</f>
        <v>0</v>
      </c>
      <c r="F252" s="30">
        <f t="shared" ca="1" si="54"/>
        <v>199937.5</v>
      </c>
      <c r="G252" s="30">
        <f t="shared" ca="1" si="54"/>
        <v>199681.16987179487</v>
      </c>
      <c r="H252" s="30">
        <f t="shared" ca="1" si="54"/>
        <v>199287.0622996795</v>
      </c>
    </row>
    <row r="253" spans="2:8">
      <c r="B253" s="152">
        <f t="shared" si="40"/>
        <v>0</v>
      </c>
      <c r="D253" s="30"/>
      <c r="E253" s="30">
        <f t="shared" ref="E253:H253" ca="1" si="55">D1183</f>
        <v>0</v>
      </c>
      <c r="F253" s="30">
        <f t="shared" ca="1" si="55"/>
        <v>0</v>
      </c>
      <c r="G253" s="30">
        <f t="shared" ca="1" si="55"/>
        <v>2349846.4434374999</v>
      </c>
      <c r="H253" s="30">
        <f t="shared" ca="1" si="55"/>
        <v>2346833.8197920672</v>
      </c>
    </row>
    <row r="254" spans="2:8">
      <c r="B254" s="152">
        <f t="shared" si="40"/>
        <v>0</v>
      </c>
      <c r="D254" s="30"/>
      <c r="E254" s="30">
        <f t="shared" ref="E254:H254" ca="1" si="56">D1184</f>
        <v>0</v>
      </c>
      <c r="F254" s="30">
        <f t="shared" ca="1" si="56"/>
        <v>0</v>
      </c>
      <c r="G254" s="30">
        <f t="shared" ca="1" si="56"/>
        <v>0</v>
      </c>
      <c r="H254" s="30">
        <f t="shared" ca="1" si="56"/>
        <v>2179532.683125</v>
      </c>
    </row>
    <row r="255" spans="2:8">
      <c r="B255" s="152">
        <f t="shared" si="40"/>
        <v>0</v>
      </c>
      <c r="D255" s="30"/>
      <c r="E255" s="30">
        <f t="shared" ref="E255:H255" ca="1" si="57">D1185</f>
        <v>0</v>
      </c>
      <c r="F255" s="30">
        <f t="shared" ca="1" si="57"/>
        <v>199937.5</v>
      </c>
      <c r="G255" s="30">
        <f t="shared" ca="1" si="57"/>
        <v>199681.16987179487</v>
      </c>
      <c r="H255" s="30">
        <f t="shared" ca="1" si="57"/>
        <v>199287.0622996795</v>
      </c>
    </row>
    <row r="256" spans="2:8">
      <c r="B256" s="152">
        <f t="shared" si="40"/>
        <v>0</v>
      </c>
      <c r="D256" s="30"/>
      <c r="E256" s="30">
        <f t="shared" ref="E256:H256" ca="1" si="58">D1186</f>
        <v>0</v>
      </c>
      <c r="F256" s="30">
        <f t="shared" ca="1" si="58"/>
        <v>0</v>
      </c>
      <c r="G256" s="30">
        <f t="shared" ca="1" si="58"/>
        <v>2472733.0293749999</v>
      </c>
      <c r="H256" s="30">
        <f t="shared" ca="1" si="58"/>
        <v>2469562.858824519</v>
      </c>
    </row>
    <row r="257" spans="2:8">
      <c r="B257" s="152">
        <f t="shared" si="40"/>
        <v>0</v>
      </c>
      <c r="D257" s="30"/>
      <c r="E257" s="30">
        <f t="shared" ref="E257:H257" ca="1" si="59">D1187</f>
        <v>0</v>
      </c>
      <c r="F257" s="30">
        <f t="shared" ca="1" si="59"/>
        <v>0</v>
      </c>
      <c r="G257" s="30">
        <f t="shared" ca="1" si="59"/>
        <v>0</v>
      </c>
      <c r="H257" s="30">
        <f t="shared" ca="1" si="59"/>
        <v>1387869.1553125</v>
      </c>
    </row>
    <row r="258" spans="2:8">
      <c r="B258" s="152">
        <f t="shared" si="40"/>
        <v>0</v>
      </c>
      <c r="D258" s="30"/>
      <c r="E258" s="30">
        <f t="shared" ref="E258:H258" ca="1" si="60">D1188</f>
        <v>0</v>
      </c>
      <c r="F258" s="30">
        <f t="shared" ca="1" si="60"/>
        <v>0</v>
      </c>
      <c r="G258" s="30">
        <f t="shared" ca="1" si="60"/>
        <v>185609.97875000001</v>
      </c>
      <c r="H258" s="30">
        <f t="shared" ca="1" si="60"/>
        <v>185372.01723878205</v>
      </c>
    </row>
    <row r="259" spans="2:8">
      <c r="B259" s="152">
        <f t="shared" si="40"/>
        <v>0</v>
      </c>
      <c r="D259" s="30"/>
      <c r="E259" s="30">
        <f t="shared" ref="E259:H259" ca="1" si="61">D1189</f>
        <v>0</v>
      </c>
      <c r="F259" s="30">
        <f t="shared" ca="1" si="61"/>
        <v>0</v>
      </c>
      <c r="G259" s="30">
        <f t="shared" ca="1" si="61"/>
        <v>0</v>
      </c>
      <c r="H259" s="30">
        <f t="shared" ca="1" si="61"/>
        <v>2109560.5562499999</v>
      </c>
    </row>
    <row r="260" spans="2:8">
      <c r="B260" s="152">
        <f t="shared" si="40"/>
        <v>0</v>
      </c>
      <c r="D260" s="30"/>
      <c r="E260" s="30">
        <f t="shared" ref="E260:H260" ca="1" si="62">D1190</f>
        <v>0</v>
      </c>
      <c r="F260" s="30">
        <f t="shared" ca="1" si="62"/>
        <v>0</v>
      </c>
      <c r="G260" s="30">
        <f t="shared" ca="1" si="62"/>
        <v>0</v>
      </c>
      <c r="H260" s="30">
        <f t="shared" ca="1" si="62"/>
        <v>0</v>
      </c>
    </row>
    <row r="261" spans="2:8">
      <c r="B261" s="152">
        <f t="shared" si="40"/>
        <v>0</v>
      </c>
      <c r="D261" s="30"/>
      <c r="E261" s="30">
        <f t="shared" ref="E261:H261" ca="1" si="63">D1191</f>
        <v>1011152.6308375</v>
      </c>
      <c r="F261" s="30">
        <f t="shared" ca="1" si="63"/>
        <v>1023312.0612083307</v>
      </c>
      <c r="G261" s="30">
        <f t="shared" ca="1" si="63"/>
        <v>1035447.4927034295</v>
      </c>
      <c r="H261" s="30">
        <f t="shared" ca="1" si="63"/>
        <v>1047550.1257350281</v>
      </c>
    </row>
    <row r="262" spans="2:8">
      <c r="B262" s="152">
        <f t="shared" si="40"/>
        <v>0</v>
      </c>
      <c r="D262" s="30"/>
      <c r="E262" s="30">
        <f t="shared" ref="E262:H262" ca="1" si="64">D1192</f>
        <v>0</v>
      </c>
      <c r="F262" s="30">
        <f t="shared" ca="1" si="64"/>
        <v>2032873.2603640624</v>
      </c>
      <c r="G262" s="30">
        <f t="shared" ca="1" si="64"/>
        <v>2057319.2046342632</v>
      </c>
      <c r="H262" s="30">
        <f t="shared" ca="1" si="64"/>
        <v>2081716.9003302464</v>
      </c>
    </row>
    <row r="263" spans="2:8">
      <c r="B263" s="152">
        <f t="shared" si="40"/>
        <v>0</v>
      </c>
      <c r="D263" s="30"/>
      <c r="E263" s="30">
        <f t="shared" ref="E263:H263" ca="1" si="65">D1193</f>
        <v>0</v>
      </c>
      <c r="F263" s="30">
        <f t="shared" ca="1" si="65"/>
        <v>0</v>
      </c>
      <c r="G263" s="30">
        <f t="shared" ca="1" si="65"/>
        <v>332798.70890625002</v>
      </c>
      <c r="H263" s="30">
        <f t="shared" ca="1" si="65"/>
        <v>336800.71869689482</v>
      </c>
    </row>
    <row r="264" spans="2:8">
      <c r="B264" s="152">
        <f t="shared" si="40"/>
        <v>0</v>
      </c>
      <c r="D264" s="30"/>
      <c r="E264" s="30">
        <f t="shared" ref="E264:H264" ca="1" si="66">D1194</f>
        <v>2987632.6835208335</v>
      </c>
      <c r="F264" s="30">
        <f t="shared" ca="1" si="66"/>
        <v>2956726.1385188941</v>
      </c>
      <c r="G264" s="30">
        <f t="shared" ca="1" si="66"/>
        <v>2922406.9958396573</v>
      </c>
      <c r="H264" s="30">
        <f t="shared" ca="1" si="66"/>
        <v>2884523.9421898839</v>
      </c>
    </row>
    <row r="265" spans="2:8">
      <c r="B265" s="152">
        <f t="shared" si="40"/>
        <v>0</v>
      </c>
      <c r="D265" s="30"/>
      <c r="E265" s="30">
        <f t="shared" ref="E265:H265" ca="1" si="67">D1195</f>
        <v>0</v>
      </c>
      <c r="F265" s="30">
        <f t="shared" ca="1" si="67"/>
        <v>80102.124812500013</v>
      </c>
      <c r="G265" s="30">
        <f t="shared" ca="1" si="67"/>
        <v>79273.482142025867</v>
      </c>
      <c r="H265" s="30">
        <f t="shared" ca="1" si="67"/>
        <v>78353.343510020204</v>
      </c>
    </row>
    <row r="266" spans="2:8">
      <c r="B266" s="152">
        <f t="shared" si="40"/>
        <v>0</v>
      </c>
      <c r="D266" s="30"/>
      <c r="E266" s="30">
        <f t="shared" ref="E266:H266" ca="1" si="68">D1196</f>
        <v>321545.56334749993</v>
      </c>
      <c r="F266" s="30">
        <f t="shared" ca="1" si="68"/>
        <v>322857.99421830609</v>
      </c>
      <c r="G266" s="30">
        <f t="shared" ca="1" si="68"/>
        <v>324035.0806555603</v>
      </c>
      <c r="H266" s="30">
        <f t="shared" ca="1" si="68"/>
        <v>325069.23516829079</v>
      </c>
    </row>
    <row r="267" spans="2:8">
      <c r="B267" s="152">
        <f t="shared" si="40"/>
        <v>0</v>
      </c>
      <c r="D267" s="30"/>
      <c r="E267" s="30">
        <f t="shared" ref="E267:H267" ca="1" si="69">D1197</f>
        <v>0</v>
      </c>
      <c r="F267" s="30">
        <f t="shared" ca="1" si="69"/>
        <v>1796651.3704550001</v>
      </c>
      <c r="G267" s="30">
        <f t="shared" ca="1" si="69"/>
        <v>1803984.6413548163</v>
      </c>
      <c r="H267" s="30">
        <f t="shared" ca="1" si="69"/>
        <v>1810561.6686930892</v>
      </c>
    </row>
    <row r="268" spans="2:8">
      <c r="B268" s="152">
        <f t="shared" si="40"/>
        <v>0</v>
      </c>
      <c r="D268" s="30"/>
      <c r="E268" s="30">
        <f t="shared" ref="E268:H268" ca="1" si="70">D1198</f>
        <v>0</v>
      </c>
      <c r="F268" s="30">
        <f t="shared" ca="1" si="70"/>
        <v>0</v>
      </c>
      <c r="G268" s="30">
        <f t="shared" ca="1" si="70"/>
        <v>50112.5</v>
      </c>
      <c r="H268" s="30">
        <f t="shared" ca="1" si="70"/>
        <v>50317.040816326531</v>
      </c>
    </row>
    <row r="269" spans="2:8">
      <c r="B269" s="152">
        <f t="shared" si="40"/>
        <v>0</v>
      </c>
      <c r="D269" s="30"/>
      <c r="E269" s="30">
        <f t="shared" ref="E269:H269" ca="1" si="71">D1199</f>
        <v>0</v>
      </c>
      <c r="F269" s="30">
        <f t="shared" ca="1" si="71"/>
        <v>0</v>
      </c>
      <c r="G269" s="30">
        <f t="shared" ca="1" si="71"/>
        <v>0</v>
      </c>
      <c r="H269" s="30">
        <f t="shared" ca="1" si="71"/>
        <v>277574.23093750002</v>
      </c>
    </row>
    <row r="270" spans="2:8">
      <c r="B270" s="152">
        <f t="shared" si="40"/>
        <v>0</v>
      </c>
      <c r="D270" s="30"/>
      <c r="E270" s="30">
        <f t="shared" ref="E270:H270" ca="1" si="72">D1200</f>
        <v>0</v>
      </c>
      <c r="F270" s="30">
        <f t="shared" ca="1" si="72"/>
        <v>0</v>
      </c>
      <c r="G270" s="30">
        <f t="shared" ca="1" si="72"/>
        <v>0</v>
      </c>
      <c r="H270" s="30">
        <f t="shared" ca="1" si="72"/>
        <v>0</v>
      </c>
    </row>
    <row r="271" spans="2:8">
      <c r="B271" s="152">
        <f t="shared" ref="B271:B302" si="73">B86</f>
        <v>0</v>
      </c>
      <c r="D271" s="30"/>
      <c r="E271" s="30">
        <f t="shared" ref="E271:H271" ca="1" si="74">D1201</f>
        <v>127544.09149583332</v>
      </c>
      <c r="F271" s="30">
        <f t="shared" ca="1" si="74"/>
        <v>128516.88541402188</v>
      </c>
      <c r="G271" s="30">
        <f t="shared" ca="1" si="74"/>
        <v>129458.60397093497</v>
      </c>
      <c r="H271" s="30">
        <f t="shared" ca="1" si="74"/>
        <v>130367.08540230995</v>
      </c>
    </row>
    <row r="272" spans="2:8">
      <c r="B272" s="152">
        <f t="shared" si="73"/>
        <v>0</v>
      </c>
      <c r="D272" s="30"/>
      <c r="E272" s="30">
        <f t="shared" ref="E272:H272" ca="1" si="75">D1202</f>
        <v>0</v>
      </c>
      <c r="F272" s="30">
        <f t="shared" ca="1" si="75"/>
        <v>492593.78266249999</v>
      </c>
      <c r="G272" s="30">
        <f t="shared" ca="1" si="75"/>
        <v>496350.85388619703</v>
      </c>
      <c r="H272" s="30">
        <f t="shared" ca="1" si="75"/>
        <v>499987.90755691484</v>
      </c>
    </row>
    <row r="273" spans="2:8">
      <c r="B273" s="152">
        <f t="shared" si="73"/>
        <v>0</v>
      </c>
      <c r="D273" s="30"/>
      <c r="E273" s="30">
        <f t="shared" ref="E273:H273" ca="1" si="76">D1203</f>
        <v>0</v>
      </c>
      <c r="F273" s="30">
        <f t="shared" ca="1" si="76"/>
        <v>0</v>
      </c>
      <c r="G273" s="30">
        <f t="shared" ca="1" si="76"/>
        <v>433811.39979166666</v>
      </c>
      <c r="H273" s="30">
        <f t="shared" ca="1" si="76"/>
        <v>437120.13080702681</v>
      </c>
    </row>
    <row r="274" spans="2:8">
      <c r="B274" s="152">
        <f t="shared" si="73"/>
        <v>0</v>
      </c>
      <c r="D274" s="30"/>
      <c r="E274" s="30">
        <f t="shared" ref="E274:H274" ca="1" si="77">D1204</f>
        <v>0</v>
      </c>
      <c r="F274" s="30">
        <f t="shared" ca="1" si="77"/>
        <v>0</v>
      </c>
      <c r="G274" s="30">
        <f t="shared" ca="1" si="77"/>
        <v>0</v>
      </c>
      <c r="H274" s="30">
        <f t="shared" ca="1" si="77"/>
        <v>446015.51729166665</v>
      </c>
    </row>
    <row r="275" spans="2:8">
      <c r="B275" s="152">
        <f t="shared" si="73"/>
        <v>0</v>
      </c>
      <c r="D275" s="30"/>
      <c r="E275" s="30">
        <f t="shared" ref="E275:H275" ca="1" si="78">D1205</f>
        <v>0</v>
      </c>
      <c r="F275" s="30">
        <f t="shared" ca="1" si="78"/>
        <v>0</v>
      </c>
      <c r="G275" s="30">
        <f t="shared" ca="1" si="78"/>
        <v>0</v>
      </c>
      <c r="H275" s="30">
        <f t="shared" ca="1" si="78"/>
        <v>0</v>
      </c>
    </row>
    <row r="276" spans="2:8">
      <c r="B276" s="152">
        <f t="shared" si="73"/>
        <v>0</v>
      </c>
      <c r="D276" s="30"/>
      <c r="E276" s="30">
        <f t="shared" ref="E276:H276" ca="1" si="79">D1206</f>
        <v>329433.94909062493</v>
      </c>
      <c r="F276" s="30">
        <f t="shared" ca="1" si="79"/>
        <v>333395.49657968938</v>
      </c>
      <c r="G276" s="30">
        <f t="shared" ca="1" si="79"/>
        <v>337349.22522502544</v>
      </c>
      <c r="H276" s="30">
        <f t="shared" ca="1" si="79"/>
        <v>341292.26811726601</v>
      </c>
    </row>
    <row r="277" spans="2:8">
      <c r="B277" s="152">
        <f t="shared" si="73"/>
        <v>0</v>
      </c>
      <c r="D277" s="30"/>
      <c r="E277" s="30">
        <f t="shared" ref="E277:H277" ca="1" si="80">D1207</f>
        <v>0</v>
      </c>
      <c r="F277" s="30">
        <f t="shared" ca="1" si="80"/>
        <v>1603351.787040625</v>
      </c>
      <c r="G277" s="30">
        <f t="shared" ca="1" si="80"/>
        <v>1622632.5996695946</v>
      </c>
      <c r="H277" s="30">
        <f t="shared" ca="1" si="80"/>
        <v>1641875.358063112</v>
      </c>
    </row>
    <row r="278" spans="2:8">
      <c r="B278" s="152">
        <f t="shared" si="73"/>
        <v>0</v>
      </c>
      <c r="D278" s="30"/>
      <c r="E278" s="30">
        <f t="shared" ref="E278:H278" ca="1" si="81">D1208</f>
        <v>0</v>
      </c>
      <c r="F278" s="30">
        <f t="shared" ca="1" si="81"/>
        <v>0</v>
      </c>
      <c r="G278" s="30">
        <f t="shared" ca="1" si="81"/>
        <v>108452.59895833333</v>
      </c>
      <c r="H278" s="30">
        <f t="shared" ca="1" si="81"/>
        <v>109279.77979784604</v>
      </c>
    </row>
    <row r="279" spans="2:8">
      <c r="B279" s="152">
        <f t="shared" si="73"/>
        <v>0</v>
      </c>
      <c r="D279" s="30"/>
      <c r="E279" s="30">
        <f t="shared" ref="E279:H279" ca="1" si="82">D1209</f>
        <v>0</v>
      </c>
      <c r="F279" s="30">
        <f t="shared" ca="1" si="82"/>
        <v>0</v>
      </c>
      <c r="G279" s="30">
        <f t="shared" ca="1" si="82"/>
        <v>0</v>
      </c>
      <c r="H279" s="30">
        <f t="shared" ca="1" si="82"/>
        <v>1151873.5225</v>
      </c>
    </row>
    <row r="280" spans="2:8">
      <c r="B280" s="152">
        <f t="shared" si="73"/>
        <v>0</v>
      </c>
      <c r="D280" s="30"/>
      <c r="E280" s="30">
        <f t="shared" ref="E280:H280" ca="1" si="83">D1210</f>
        <v>0</v>
      </c>
      <c r="F280" s="30">
        <f t="shared" ca="1" si="83"/>
        <v>0</v>
      </c>
      <c r="G280" s="30">
        <f t="shared" ca="1" si="83"/>
        <v>0</v>
      </c>
      <c r="H280" s="30">
        <f t="shared" ca="1" si="83"/>
        <v>111029.2925</v>
      </c>
    </row>
    <row r="281" spans="2:8">
      <c r="B281" s="152">
        <f t="shared" si="73"/>
        <v>0</v>
      </c>
      <c r="D281" s="30"/>
      <c r="E281" s="30">
        <f t="shared" ref="E281:H281" ca="1" si="84">D1211</f>
        <v>0</v>
      </c>
      <c r="F281" s="30">
        <f t="shared" ca="1" si="84"/>
        <v>0</v>
      </c>
      <c r="G281" s="30">
        <f t="shared" ca="1" si="84"/>
        <v>0</v>
      </c>
      <c r="H281" s="30">
        <f t="shared" ca="1" si="84"/>
        <v>0</v>
      </c>
    </row>
    <row r="282" spans="2:8">
      <c r="B282" s="152">
        <f t="shared" si="73"/>
        <v>0</v>
      </c>
      <c r="D282" s="30"/>
      <c r="E282" s="30">
        <f t="shared" ref="E282:H282" ca="1" si="85">D1212</f>
        <v>389032.60930625006</v>
      </c>
      <c r="F282" s="30">
        <f t="shared" ca="1" si="85"/>
        <v>388533.84955072921</v>
      </c>
      <c r="G282" s="30">
        <f t="shared" ca="1" si="85"/>
        <v>387767.00642661593</v>
      </c>
      <c r="H282" s="30">
        <f t="shared" ca="1" si="85"/>
        <v>386718.9874903278</v>
      </c>
    </row>
    <row r="283" spans="2:8">
      <c r="B283" s="152">
        <f t="shared" si="73"/>
        <v>0</v>
      </c>
      <c r="D283" s="30"/>
      <c r="E283" s="30">
        <f t="shared" ref="E283:H283" ca="1" si="86">D1213</f>
        <v>0</v>
      </c>
      <c r="F283" s="30">
        <f t="shared" ca="1" si="86"/>
        <v>711345.39507500001</v>
      </c>
      <c r="G283" s="30">
        <f t="shared" ca="1" si="86"/>
        <v>710433.41379926284</v>
      </c>
      <c r="H283" s="30">
        <f t="shared" ca="1" si="86"/>
        <v>709031.2425878169</v>
      </c>
    </row>
    <row r="284" spans="2:8">
      <c r="B284" s="152">
        <f t="shared" si="73"/>
        <v>0</v>
      </c>
      <c r="D284" s="30"/>
      <c r="E284" s="30">
        <f t="shared" ref="E284:H284" ca="1" si="87">D1214</f>
        <v>0</v>
      </c>
      <c r="F284" s="30">
        <f t="shared" ca="1" si="87"/>
        <v>0</v>
      </c>
      <c r="G284" s="30">
        <f t="shared" ca="1" si="87"/>
        <v>0</v>
      </c>
      <c r="H284" s="30">
        <f t="shared" ca="1" si="87"/>
        <v>416360.8465625</v>
      </c>
    </row>
    <row r="285" spans="2:8">
      <c r="B285" s="152">
        <f t="shared" si="73"/>
        <v>0</v>
      </c>
      <c r="D285" s="30"/>
      <c r="E285" s="30">
        <f t="shared" ref="E285:H285" ca="1" si="88">D1215</f>
        <v>0</v>
      </c>
      <c r="F285" s="30">
        <f t="shared" ca="1" si="88"/>
        <v>0</v>
      </c>
      <c r="G285" s="30">
        <f t="shared" ca="1" si="88"/>
        <v>0</v>
      </c>
      <c r="H285" s="30">
        <f t="shared" ca="1" si="88"/>
        <v>0</v>
      </c>
    </row>
    <row r="286" spans="2:8">
      <c r="B286" s="152">
        <f t="shared" si="73"/>
        <v>0</v>
      </c>
      <c r="D286" s="30"/>
      <c r="E286" s="30">
        <f t="shared" ref="E286:H286" ca="1" si="89">D1216</f>
        <v>0</v>
      </c>
      <c r="F286" s="30">
        <f t="shared" ca="1" si="89"/>
        <v>0</v>
      </c>
      <c r="G286" s="30">
        <f t="shared" ca="1" si="89"/>
        <v>0</v>
      </c>
      <c r="H286" s="30">
        <f t="shared" ca="1" si="89"/>
        <v>139142.36749999999</v>
      </c>
    </row>
    <row r="287" spans="2:8">
      <c r="B287" s="152">
        <f t="shared" si="73"/>
        <v>0</v>
      </c>
      <c r="D287" s="30"/>
      <c r="E287" s="30">
        <f t="shared" ref="E287:H287" ca="1" si="90">D1217</f>
        <v>0</v>
      </c>
      <c r="F287" s="30">
        <f t="shared" ca="1" si="90"/>
        <v>0</v>
      </c>
      <c r="G287" s="30">
        <f t="shared" ca="1" si="90"/>
        <v>0</v>
      </c>
      <c r="H287" s="30">
        <f t="shared" ca="1" si="90"/>
        <v>0</v>
      </c>
    </row>
    <row r="288" spans="2:8">
      <c r="B288" s="152">
        <f t="shared" si="73"/>
        <v>0</v>
      </c>
      <c r="D288" s="30"/>
      <c r="E288" s="30">
        <f t="shared" ref="E288:H288" ca="1" si="91">D1218</f>
        <v>0</v>
      </c>
      <c r="F288" s="30">
        <f t="shared" ca="1" si="91"/>
        <v>0</v>
      </c>
      <c r="G288" s="30">
        <f t="shared" ca="1" si="91"/>
        <v>0</v>
      </c>
      <c r="H288" s="30">
        <f t="shared" ca="1" si="91"/>
        <v>195546.3934375</v>
      </c>
    </row>
    <row r="289" spans="2:8">
      <c r="B289" s="152">
        <f t="shared" si="73"/>
        <v>0</v>
      </c>
      <c r="D289" s="30"/>
      <c r="E289" s="30">
        <f t="shared" ref="E289:H289" ca="1" si="92">D1219</f>
        <v>0</v>
      </c>
      <c r="F289" s="30">
        <f t="shared" ca="1" si="92"/>
        <v>0</v>
      </c>
      <c r="G289" s="30">
        <f t="shared" ca="1" si="92"/>
        <v>0</v>
      </c>
      <c r="H289" s="30">
        <f t="shared" ca="1" si="92"/>
        <v>0</v>
      </c>
    </row>
    <row r="290" spans="2:8">
      <c r="B290" s="152">
        <f t="shared" si="73"/>
        <v>0</v>
      </c>
      <c r="D290" s="30"/>
      <c r="E290" s="30">
        <f t="shared" ref="E290:H290" ca="1" si="93">D1220</f>
        <v>0</v>
      </c>
      <c r="F290" s="30">
        <f t="shared" ca="1" si="93"/>
        <v>0</v>
      </c>
      <c r="G290" s="30">
        <f t="shared" ca="1" si="93"/>
        <v>269978.60531249997</v>
      </c>
      <c r="H290" s="30">
        <f t="shared" ca="1" si="93"/>
        <v>269632.47889543267</v>
      </c>
    </row>
    <row r="291" spans="2:8">
      <c r="B291" s="152">
        <f t="shared" si="73"/>
        <v>0</v>
      </c>
      <c r="D291" s="30"/>
      <c r="E291" s="30">
        <f t="shared" ref="E291:H291" ca="1" si="94">D1221</f>
        <v>0</v>
      </c>
      <c r="F291" s="30">
        <f t="shared" ca="1" si="94"/>
        <v>0</v>
      </c>
      <c r="G291" s="30">
        <f t="shared" ca="1" si="94"/>
        <v>0</v>
      </c>
      <c r="H291" s="30">
        <f t="shared" ca="1" si="94"/>
        <v>277574.23093750002</v>
      </c>
    </row>
    <row r="292" spans="2:8">
      <c r="B292" s="152">
        <f t="shared" si="73"/>
        <v>0</v>
      </c>
      <c r="D292" s="30"/>
      <c r="E292" s="30">
        <f t="shared" ref="E292:H292" ca="1" si="95">D1222</f>
        <v>0</v>
      </c>
      <c r="F292" s="30">
        <f t="shared" ca="1" si="95"/>
        <v>0</v>
      </c>
      <c r="G292" s="30">
        <f t="shared" ca="1" si="95"/>
        <v>0</v>
      </c>
      <c r="H292" s="30">
        <f t="shared" ca="1" si="95"/>
        <v>0</v>
      </c>
    </row>
    <row r="293" spans="2:8">
      <c r="B293" s="152">
        <f t="shared" si="73"/>
        <v>0</v>
      </c>
      <c r="D293" s="30"/>
      <c r="E293" s="30">
        <f t="shared" ref="E293:H293" ca="1" si="96">D1223</f>
        <v>0</v>
      </c>
      <c r="F293" s="30">
        <f t="shared" ca="1" si="96"/>
        <v>0</v>
      </c>
      <c r="G293" s="30">
        <f t="shared" ca="1" si="96"/>
        <v>0</v>
      </c>
      <c r="H293" s="30">
        <f t="shared" ca="1" si="96"/>
        <v>0</v>
      </c>
    </row>
    <row r="294" spans="2:8">
      <c r="B294" s="152">
        <f t="shared" si="73"/>
        <v>0</v>
      </c>
      <c r="D294" s="30"/>
      <c r="E294" s="30">
        <f t="shared" ref="E294:H294" ca="1" si="97">D1224</f>
        <v>0</v>
      </c>
      <c r="F294" s="30">
        <f t="shared" ca="1" si="97"/>
        <v>0</v>
      </c>
      <c r="G294" s="30">
        <f t="shared" ca="1" si="97"/>
        <v>0</v>
      </c>
      <c r="H294" s="30">
        <f t="shared" ca="1" si="97"/>
        <v>0</v>
      </c>
    </row>
    <row r="295" spans="2:8">
      <c r="B295" s="152">
        <f t="shared" si="73"/>
        <v>0</v>
      </c>
      <c r="D295" s="30"/>
      <c r="E295" s="30">
        <f t="shared" ref="E295:H295" ca="1" si="98">D1225</f>
        <v>0</v>
      </c>
      <c r="F295" s="30">
        <f t="shared" ca="1" si="98"/>
        <v>0</v>
      </c>
      <c r="G295" s="30">
        <f t="shared" ca="1" si="98"/>
        <v>0</v>
      </c>
      <c r="H295" s="30">
        <f t="shared" ca="1" si="98"/>
        <v>171283.53478090526</v>
      </c>
    </row>
    <row r="296" spans="2:8">
      <c r="B296" s="152">
        <f t="shared" si="73"/>
        <v>0</v>
      </c>
      <c r="D296" s="30"/>
      <c r="E296" s="30">
        <f t="shared" ref="E296:H296" ca="1" si="99">D1226</f>
        <v>0</v>
      </c>
      <c r="F296" s="30">
        <f t="shared" ca="1" si="99"/>
        <v>0</v>
      </c>
      <c r="G296" s="30">
        <f t="shared" ca="1" si="99"/>
        <v>0</v>
      </c>
      <c r="H296" s="30">
        <f t="shared" ca="1" si="99"/>
        <v>0</v>
      </c>
    </row>
    <row r="297" spans="2:8">
      <c r="B297" s="152">
        <f t="shared" si="73"/>
        <v>0</v>
      </c>
      <c r="D297" s="30"/>
      <c r="E297" s="30">
        <f t="shared" ref="E297:H297" ca="1" si="100">D1227</f>
        <v>0</v>
      </c>
      <c r="F297" s="30">
        <f t="shared" ca="1" si="100"/>
        <v>0</v>
      </c>
      <c r="G297" s="30">
        <f t="shared" ca="1" si="100"/>
        <v>0</v>
      </c>
      <c r="H297" s="30">
        <f t="shared" ca="1" si="100"/>
        <v>651239.40916666668</v>
      </c>
    </row>
    <row r="298" spans="2:8">
      <c r="B298" s="152">
        <f t="shared" si="73"/>
        <v>0</v>
      </c>
      <c r="D298" s="30"/>
      <c r="E298" s="30">
        <f t="shared" ref="E298:H298" ca="1" si="101">D1228</f>
        <v>645815.61447083345</v>
      </c>
      <c r="F298" s="30">
        <f t="shared" ca="1" si="101"/>
        <v>650741.3267845941</v>
      </c>
      <c r="G298" s="30">
        <f t="shared" ca="1" si="101"/>
        <v>655509.68995499844</v>
      </c>
      <c r="H298" s="30">
        <f t="shared" ca="1" si="101"/>
        <v>660109.75795468269</v>
      </c>
    </row>
    <row r="299" spans="2:8">
      <c r="B299" s="152">
        <f t="shared" si="73"/>
        <v>0</v>
      </c>
      <c r="D299" s="30"/>
      <c r="E299" s="30">
        <f t="shared" ref="E299:H299" ca="1" si="102">D1229</f>
        <v>0</v>
      </c>
      <c r="F299" s="30">
        <f t="shared" ca="1" si="102"/>
        <v>0</v>
      </c>
      <c r="G299" s="30">
        <f t="shared" ca="1" si="102"/>
        <v>614202.00187499996</v>
      </c>
      <c r="H299" s="30">
        <f t="shared" ca="1" si="102"/>
        <v>613414.56341105769</v>
      </c>
    </row>
    <row r="300" spans="2:8">
      <c r="B300" s="152">
        <f t="shared" si="73"/>
        <v>0</v>
      </c>
      <c r="D300" s="30"/>
      <c r="E300" s="30">
        <f t="shared" ref="E300:H300" ca="1" si="103">D1230</f>
        <v>0</v>
      </c>
      <c r="F300" s="30">
        <f t="shared" ca="1" si="103"/>
        <v>0</v>
      </c>
      <c r="G300" s="30">
        <f t="shared" ca="1" si="103"/>
        <v>0</v>
      </c>
      <c r="H300" s="30">
        <f t="shared" ca="1" si="103"/>
        <v>111029.2925</v>
      </c>
    </row>
    <row r="301" spans="2:8">
      <c r="B301" s="152">
        <f t="shared" si="73"/>
        <v>0</v>
      </c>
      <c r="D301" s="30"/>
      <c r="E301" s="30">
        <f t="shared" ref="E301:H301" ca="1" si="104">D1231</f>
        <v>0</v>
      </c>
      <c r="F301" s="30">
        <f t="shared" ca="1" si="104"/>
        <v>0</v>
      </c>
      <c r="G301" s="30">
        <f t="shared" ca="1" si="104"/>
        <v>0</v>
      </c>
      <c r="H301" s="30">
        <f t="shared" ca="1" si="104"/>
        <v>0</v>
      </c>
    </row>
    <row r="302" spans="2:8">
      <c r="B302" s="152">
        <f t="shared" si="73"/>
        <v>0</v>
      </c>
      <c r="D302" s="30"/>
      <c r="E302" s="30">
        <f t="shared" ref="E302:H302" ca="1" si="105">D1232</f>
        <v>35366.304575000009</v>
      </c>
      <c r="F302" s="30">
        <f t="shared" ca="1" si="105"/>
        <v>35320.963158878214</v>
      </c>
      <c r="G302" s="30">
        <f t="shared" ca="1" si="105"/>
        <v>35251.250731590953</v>
      </c>
      <c r="H302" s="30">
        <f t="shared" ca="1" si="105"/>
        <v>35155.977080965029</v>
      </c>
    </row>
    <row r="303" spans="2:8">
      <c r="B303" s="152">
        <f t="shared" ref="B303:B334" si="106">B118</f>
        <v>0</v>
      </c>
      <c r="D303" s="30"/>
      <c r="E303" s="30">
        <f t="shared" ref="E303:H303" ca="1" si="107">D1233</f>
        <v>0</v>
      </c>
      <c r="F303" s="30">
        <f t="shared" ca="1" si="107"/>
        <v>481227.06953124999</v>
      </c>
      <c r="G303" s="30">
        <f t="shared" ca="1" si="107"/>
        <v>480610.11174979969</v>
      </c>
      <c r="H303" s="30">
        <f t="shared" ca="1" si="107"/>
        <v>479661.53916081984</v>
      </c>
    </row>
    <row r="304" spans="2:8">
      <c r="B304" s="152">
        <f t="shared" si="106"/>
        <v>0</v>
      </c>
      <c r="D304" s="30"/>
      <c r="E304" s="30">
        <f t="shared" ref="E304:H304" ca="1" si="108">D1234</f>
        <v>0</v>
      </c>
      <c r="F304" s="30">
        <f t="shared" ca="1" si="108"/>
        <v>0</v>
      </c>
      <c r="G304" s="30">
        <f t="shared" ca="1" si="108"/>
        <v>0</v>
      </c>
      <c r="H304" s="30">
        <f t="shared" ca="1" si="108"/>
        <v>0</v>
      </c>
    </row>
    <row r="305" spans="2:8">
      <c r="B305" s="152">
        <f t="shared" si="106"/>
        <v>0</v>
      </c>
      <c r="D305" s="30"/>
      <c r="E305" s="30">
        <f t="shared" ref="E305:H305" ca="1" si="109">D1235</f>
        <v>20257.697490625003</v>
      </c>
      <c r="F305" s="30">
        <f t="shared" ca="1" si="109"/>
        <v>20231.726083585741</v>
      </c>
      <c r="G305" s="30">
        <f t="shared" ca="1" si="109"/>
        <v>20191.795045262872</v>
      </c>
      <c r="H305" s="30">
        <f t="shared" ca="1" si="109"/>
        <v>20137.222626221621</v>
      </c>
    </row>
    <row r="306" spans="2:8">
      <c r="B306" s="152">
        <f t="shared" si="106"/>
        <v>0</v>
      </c>
      <c r="D306" s="30"/>
      <c r="E306" s="30">
        <f t="shared" ref="E306:H306" ca="1" si="110">D1236</f>
        <v>0</v>
      </c>
      <c r="F306" s="30">
        <f t="shared" ca="1" si="110"/>
        <v>372083.41758437495</v>
      </c>
      <c r="G306" s="30">
        <f t="shared" ca="1" si="110"/>
        <v>371606.38756183087</v>
      </c>
      <c r="H306" s="30">
        <f t="shared" ca="1" si="110"/>
        <v>370872.95390216931</v>
      </c>
    </row>
    <row r="307" spans="2:8">
      <c r="B307" s="152">
        <f t="shared" si="106"/>
        <v>0</v>
      </c>
      <c r="D307" s="30"/>
      <c r="E307" s="30">
        <f t="shared" ref="E307:H307" ca="1" si="111">D1237</f>
        <v>0</v>
      </c>
      <c r="F307" s="30">
        <f t="shared" ca="1" si="111"/>
        <v>0</v>
      </c>
      <c r="G307" s="30">
        <f t="shared" ca="1" si="111"/>
        <v>46737.39</v>
      </c>
      <c r="H307" s="30">
        <f t="shared" ca="1" si="111"/>
        <v>46677.470269230769</v>
      </c>
    </row>
    <row r="308" spans="2:8">
      <c r="B308" s="152">
        <f t="shared" si="106"/>
        <v>0</v>
      </c>
      <c r="D308" s="30"/>
      <c r="E308" s="30">
        <f t="shared" ref="E308:H308" ca="1" si="112">D1238</f>
        <v>323663.25361562491</v>
      </c>
      <c r="F308" s="30">
        <f t="shared" ca="1" si="112"/>
        <v>323248.30072637409</v>
      </c>
      <c r="G308" s="30">
        <f t="shared" ca="1" si="112"/>
        <v>322610.310659151</v>
      </c>
      <c r="H308" s="30">
        <f t="shared" ca="1" si="112"/>
        <v>321738.39090061275</v>
      </c>
    </row>
    <row r="309" spans="2:8">
      <c r="B309" s="152">
        <f t="shared" si="106"/>
        <v>0</v>
      </c>
      <c r="D309" s="30"/>
      <c r="E309" s="30">
        <f t="shared" ref="E309:H309" ca="1" si="113">D1239</f>
        <v>0</v>
      </c>
      <c r="F309" s="30">
        <f t="shared" ca="1" si="113"/>
        <v>0</v>
      </c>
      <c r="G309" s="30">
        <f t="shared" ca="1" si="113"/>
        <v>0</v>
      </c>
      <c r="H309" s="30">
        <f t="shared" ca="1" si="113"/>
        <v>0</v>
      </c>
    </row>
    <row r="310" spans="2:8">
      <c r="B310" s="152">
        <f t="shared" si="106"/>
        <v>0</v>
      </c>
      <c r="D310" s="30"/>
      <c r="E310" s="30">
        <f t="shared" ref="E310:H310" ca="1" si="114">D1240</f>
        <v>0</v>
      </c>
      <c r="F310" s="30">
        <f t="shared" ca="1" si="114"/>
        <v>0</v>
      </c>
      <c r="G310" s="30">
        <f t="shared" ca="1" si="114"/>
        <v>0</v>
      </c>
      <c r="H310" s="30">
        <f t="shared" ca="1" si="114"/>
        <v>0</v>
      </c>
    </row>
    <row r="311" spans="2:8">
      <c r="B311" s="152">
        <f t="shared" si="106"/>
        <v>0</v>
      </c>
      <c r="D311" s="30"/>
      <c r="E311" s="30">
        <f t="shared" ref="E311:H311" ca="1" si="115">D1241</f>
        <v>6637.3017362500013</v>
      </c>
      <c r="F311" s="30">
        <f t="shared" ca="1" si="115"/>
        <v>6734.5147414779058</v>
      </c>
      <c r="G311" s="30">
        <f t="shared" ca="1" si="115"/>
        <v>6832.4400833820491</v>
      </c>
      <c r="H311" s="30">
        <f t="shared" ca="1" si="115"/>
        <v>6931.052620667976</v>
      </c>
    </row>
    <row r="312" spans="2:8">
      <c r="B312" s="152">
        <f t="shared" si="106"/>
        <v>0</v>
      </c>
      <c r="D312" s="30"/>
      <c r="E312" s="30">
        <f t="shared" ref="E312:H312" ca="1" si="116">D1242</f>
        <v>0</v>
      </c>
      <c r="F312" s="30">
        <f t="shared" ca="1" si="116"/>
        <v>151460.84599999999</v>
      </c>
      <c r="G312" s="30">
        <f t="shared" ca="1" si="116"/>
        <v>153679.21192626259</v>
      </c>
      <c r="H312" s="30">
        <f t="shared" ca="1" si="116"/>
        <v>155913.83312008835</v>
      </c>
    </row>
    <row r="313" spans="2:8">
      <c r="B313" s="152">
        <f t="shared" si="106"/>
        <v>0</v>
      </c>
      <c r="D313" s="30"/>
      <c r="E313" s="30">
        <f t="shared" ref="E313:H313" ca="1" si="117">D1243</f>
        <v>0</v>
      </c>
      <c r="F313" s="30">
        <f t="shared" ca="1" si="117"/>
        <v>0</v>
      </c>
      <c r="G313" s="30">
        <f t="shared" ca="1" si="117"/>
        <v>0</v>
      </c>
      <c r="H313" s="30">
        <f t="shared" ca="1" si="117"/>
        <v>0</v>
      </c>
    </row>
    <row r="314" spans="2:8">
      <c r="B314" s="152">
        <f t="shared" si="106"/>
        <v>0</v>
      </c>
      <c r="D314" s="30"/>
      <c r="E314" s="30">
        <f t="shared" ref="E314:H314" ca="1" si="118">D1244</f>
        <v>136881.24061250003</v>
      </c>
      <c r="F314" s="30">
        <f t="shared" ca="1" si="118"/>
        <v>124714.01922472224</v>
      </c>
      <c r="G314" s="30">
        <f t="shared" ca="1" si="118"/>
        <v>111852.88599217276</v>
      </c>
      <c r="H314" s="30">
        <f t="shared" ca="1" si="118"/>
        <v>98270.749835980343</v>
      </c>
    </row>
    <row r="315" spans="2:8">
      <c r="B315" s="152">
        <f t="shared" si="106"/>
        <v>0</v>
      </c>
      <c r="D315" s="30"/>
      <c r="E315" s="30">
        <f t="shared" ref="E315:H315" ca="1" si="119">D1245</f>
        <v>22575.962500000001</v>
      </c>
      <c r="F315" s="30">
        <f t="shared" ca="1" si="119"/>
        <v>17355.271171875</v>
      </c>
      <c r="G315" s="30">
        <f t="shared" ca="1" si="119"/>
        <v>11859.43530078125</v>
      </c>
      <c r="H315" s="30">
        <f t="shared" ca="1" si="119"/>
        <v>6077.9605916503906</v>
      </c>
    </row>
    <row r="316" spans="2:8">
      <c r="B316" s="152">
        <f t="shared" si="106"/>
        <v>0</v>
      </c>
      <c r="D316" s="30"/>
      <c r="E316" s="30">
        <f t="shared" ref="E316:H316" ca="1" si="120">D1246</f>
        <v>0</v>
      </c>
      <c r="F316" s="30">
        <f t="shared" ca="1" si="120"/>
        <v>210341.66666666666</v>
      </c>
      <c r="G316" s="30">
        <f t="shared" ca="1" si="120"/>
        <v>200200.19345238095</v>
      </c>
      <c r="H316" s="30">
        <f t="shared" ca="1" si="120"/>
        <v>189420.18303571429</v>
      </c>
    </row>
    <row r="317" spans="2:8">
      <c r="B317" s="152">
        <f t="shared" si="106"/>
        <v>0</v>
      </c>
      <c r="D317" s="30"/>
      <c r="E317" s="30">
        <f t="shared" ref="E317:H317" ca="1" si="121">D1247</f>
        <v>523253.02119999996</v>
      </c>
      <c r="F317" s="30">
        <f t="shared" ca="1" si="121"/>
        <v>402250.76004750002</v>
      </c>
      <c r="G317" s="30">
        <f t="shared" ca="1" si="121"/>
        <v>274871.35269912507</v>
      </c>
      <c r="H317" s="30">
        <f t="shared" ca="1" si="121"/>
        <v>140871.56825830159</v>
      </c>
    </row>
    <row r="318" spans="2:8">
      <c r="B318" s="152">
        <f t="shared" si="106"/>
        <v>0</v>
      </c>
      <c r="D318" s="30"/>
      <c r="E318" s="30">
        <f t="shared" ref="E318:H318" ca="1" si="122">D1248</f>
        <v>0</v>
      </c>
      <c r="F318" s="30">
        <f t="shared" ca="1" si="122"/>
        <v>381745.00000000006</v>
      </c>
      <c r="G318" s="30">
        <f t="shared" ca="1" si="122"/>
        <v>293466.46875000006</v>
      </c>
      <c r="H318" s="30">
        <f t="shared" ca="1" si="122"/>
        <v>200535.42031250003</v>
      </c>
    </row>
    <row r="319" spans="2:8">
      <c r="B319" s="152">
        <f t="shared" si="106"/>
        <v>0</v>
      </c>
      <c r="D319" s="30"/>
      <c r="E319" s="30">
        <f t="shared" ref="E319:H319" ca="1" si="123">D1249</f>
        <v>0</v>
      </c>
      <c r="F319" s="30">
        <f t="shared" ca="1" si="123"/>
        <v>0</v>
      </c>
      <c r="G319" s="30">
        <f t="shared" ca="1" si="123"/>
        <v>409500</v>
      </c>
      <c r="H319" s="30">
        <f t="shared" ca="1" si="123"/>
        <v>314803.125</v>
      </c>
    </row>
    <row r="320" spans="2:8">
      <c r="B320" s="152">
        <f t="shared" si="106"/>
        <v>0</v>
      </c>
      <c r="D320" s="30"/>
      <c r="E320" s="30">
        <f t="shared" ref="E320:H320" ca="1" si="124">D1250</f>
        <v>0</v>
      </c>
      <c r="F320" s="30">
        <f t="shared" ca="1" si="124"/>
        <v>0</v>
      </c>
      <c r="G320" s="30">
        <f t="shared" ca="1" si="124"/>
        <v>0</v>
      </c>
      <c r="H320" s="30">
        <f t="shared" ca="1" si="124"/>
        <v>409500</v>
      </c>
    </row>
    <row r="321" spans="2:8">
      <c r="B321" s="152">
        <f t="shared" si="106"/>
        <v>0</v>
      </c>
      <c r="D321" s="30"/>
      <c r="E321" s="30">
        <f t="shared" ref="E321:H321" ca="1" si="125">D1251</f>
        <v>0</v>
      </c>
      <c r="F321" s="30">
        <f t="shared" ca="1" si="125"/>
        <v>0</v>
      </c>
      <c r="G321" s="30">
        <f t="shared" ca="1" si="125"/>
        <v>0</v>
      </c>
      <c r="H321" s="30">
        <f t="shared" ca="1" si="125"/>
        <v>0</v>
      </c>
    </row>
    <row r="322" spans="2:8">
      <c r="B322" s="152">
        <f t="shared" si="106"/>
        <v>0</v>
      </c>
      <c r="D322" s="30"/>
      <c r="E322" s="30">
        <f t="shared" ref="E322:H322" ca="1" si="126">D1252</f>
        <v>450461.55700000003</v>
      </c>
      <c r="F322" s="30">
        <f t="shared" ca="1" si="126"/>
        <v>346292.32194375002</v>
      </c>
      <c r="G322" s="30">
        <f t="shared" ca="1" si="126"/>
        <v>236633.0866615625</v>
      </c>
      <c r="H322" s="30">
        <f t="shared" ca="1" si="126"/>
        <v>121274.45691405078</v>
      </c>
    </row>
    <row r="323" spans="2:8">
      <c r="B323" s="152">
        <f t="shared" si="106"/>
        <v>0</v>
      </c>
      <c r="D323" s="30"/>
      <c r="E323" s="30">
        <f t="shared" ref="E323:H323" ca="1" si="127">D1253</f>
        <v>759325.77383125015</v>
      </c>
      <c r="F323" s="30">
        <f t="shared" ca="1" si="127"/>
        <v>737345.29090455617</v>
      </c>
      <c r="G323" s="30">
        <f t="shared" ca="1" si="127"/>
        <v>713791.20522288291</v>
      </c>
      <c r="H323" s="30">
        <f t="shared" ca="1" si="127"/>
        <v>688598.57445031055</v>
      </c>
    </row>
    <row r="324" spans="2:8">
      <c r="B324" s="152">
        <f t="shared" si="106"/>
        <v>0</v>
      </c>
      <c r="D324" s="30"/>
      <c r="E324" s="30">
        <f t="shared" ref="E324:H324" ca="1" si="128">D1254</f>
        <v>0</v>
      </c>
      <c r="F324" s="30">
        <f t="shared" ca="1" si="128"/>
        <v>482581.53946249996</v>
      </c>
      <c r="G324" s="30">
        <f t="shared" ca="1" si="128"/>
        <v>468612.07384648023</v>
      </c>
      <c r="H324" s="30">
        <f t="shared" ca="1" si="128"/>
        <v>453642.52148749545</v>
      </c>
    </row>
    <row r="325" spans="2:8">
      <c r="B325" s="152">
        <f t="shared" si="106"/>
        <v>0</v>
      </c>
      <c r="D325" s="30"/>
      <c r="E325" s="30">
        <f t="shared" ref="E325:H325" ca="1" si="129">D1255</f>
        <v>-3134.5571291666674</v>
      </c>
      <c r="F325" s="30">
        <f t="shared" ca="1" si="129"/>
        <v>-3102.1306761063224</v>
      </c>
      <c r="G325" s="30">
        <f t="shared" ca="1" si="129"/>
        <v>-3066.1238021872309</v>
      </c>
      <c r="H325" s="30">
        <f t="shared" ca="1" si="129"/>
        <v>-3026.3777528996188</v>
      </c>
    </row>
    <row r="326" spans="2:8">
      <c r="B326" s="152">
        <f t="shared" si="106"/>
        <v>0</v>
      </c>
      <c r="D326" s="30"/>
      <c r="E326" s="30">
        <f t="shared" ref="E326:H326" ca="1" si="130">D1256</f>
        <v>256738.74846250002</v>
      </c>
      <c r="F326" s="30">
        <f t="shared" ca="1" si="130"/>
        <v>249306.83732279605</v>
      </c>
      <c r="G326" s="30">
        <f t="shared" ca="1" si="130"/>
        <v>241342.86890831785</v>
      </c>
      <c r="H326" s="30">
        <f t="shared" ca="1" si="130"/>
        <v>232824.88529978899</v>
      </c>
    </row>
    <row r="327" spans="2:8">
      <c r="B327" s="152">
        <f t="shared" si="106"/>
        <v>0</v>
      </c>
      <c r="D327" s="30"/>
      <c r="E327" s="30">
        <f t="shared" ref="E327:H327" ca="1" si="131">D1257</f>
        <v>9473.7685218749994</v>
      </c>
      <c r="F327" s="30">
        <f t="shared" ca="1" si="131"/>
        <v>9461.6226647956737</v>
      </c>
      <c r="G327" s="30">
        <f t="shared" ca="1" si="131"/>
        <v>9442.9484095362077</v>
      </c>
      <c r="H327" s="30">
        <f t="shared" ca="1" si="131"/>
        <v>9417.4269273482714</v>
      </c>
    </row>
    <row r="328" spans="2:8">
      <c r="B328" s="152">
        <f t="shared" si="106"/>
        <v>0</v>
      </c>
      <c r="D328" s="30"/>
      <c r="E328" s="30">
        <f t="shared" ref="E328:H328" ca="1" si="132">D1258</f>
        <v>50603.240566666675</v>
      </c>
      <c r="F328" s="30">
        <f t="shared" ca="1" si="132"/>
        <v>50079.758767701154</v>
      </c>
      <c r="G328" s="30">
        <f t="shared" ca="1" si="132"/>
        <v>49498.4758534332</v>
      </c>
      <c r="H328" s="30">
        <f t="shared" ca="1" si="132"/>
        <v>48856.828944222027</v>
      </c>
    </row>
    <row r="329" spans="2:8">
      <c r="B329" s="152">
        <f t="shared" si="106"/>
        <v>0</v>
      </c>
      <c r="D329" s="30"/>
      <c r="E329" s="30">
        <f t="shared" ref="E329:H329" ca="1" si="133">D1259</f>
        <v>-50506.266761250001</v>
      </c>
      <c r="F329" s="30">
        <f t="shared" ca="1" si="133"/>
        <v>-51246.005011793568</v>
      </c>
      <c r="G329" s="30">
        <f t="shared" ca="1" si="133"/>
        <v>-51991.163758138522</v>
      </c>
      <c r="H329" s="30">
        <f t="shared" ca="1" si="133"/>
        <v>-52741.551688668354</v>
      </c>
    </row>
    <row r="330" spans="2:8">
      <c r="B330" s="152">
        <f t="shared" si="106"/>
        <v>0</v>
      </c>
      <c r="D330" s="30"/>
      <c r="E330" s="30">
        <f t="shared" ref="E330:H330" ca="1" si="134">D1260</f>
        <v>0</v>
      </c>
      <c r="F330" s="30">
        <f t="shared" ca="1" si="134"/>
        <v>412498.90762499999</v>
      </c>
      <c r="G330" s="30">
        <f t="shared" ca="1" si="134"/>
        <v>418540.55829223484</v>
      </c>
      <c r="H330" s="30">
        <f t="shared" ca="1" si="134"/>
        <v>424626.47967556579</v>
      </c>
    </row>
    <row r="331" spans="2:8">
      <c r="B331" s="152">
        <f t="shared" si="106"/>
        <v>0</v>
      </c>
      <c r="D331" s="30"/>
      <c r="E331" s="30">
        <f t="shared" ref="E331:H331" ca="1" si="135">D1261</f>
        <v>3193.6031468749998</v>
      </c>
      <c r="F331" s="30">
        <f t="shared" ca="1" si="135"/>
        <v>3232.0072353500786</v>
      </c>
      <c r="G331" s="30">
        <f t="shared" ca="1" si="135"/>
        <v>3270.3355262821151</v>
      </c>
      <c r="H331" s="30">
        <f t="shared" ca="1" si="135"/>
        <v>3308.5602272386591</v>
      </c>
    </row>
    <row r="332" spans="2:8">
      <c r="B332" s="152">
        <f t="shared" si="106"/>
        <v>0</v>
      </c>
      <c r="D332" s="30"/>
      <c r="E332" s="30">
        <f t="shared" ref="E332:H332" ca="1" si="136">D1262</f>
        <v>153989.6354</v>
      </c>
      <c r="F332" s="30">
        <f t="shared" ca="1" si="136"/>
        <v>140301.66780888889</v>
      </c>
      <c r="G332" s="30">
        <f t="shared" ca="1" si="136"/>
        <v>125833.05831609723</v>
      </c>
      <c r="H332" s="30">
        <f t="shared" ca="1" si="136"/>
        <v>110553.32980628542</v>
      </c>
    </row>
    <row r="333" spans="2:8">
      <c r="B333" s="152">
        <f t="shared" si="106"/>
        <v>0</v>
      </c>
      <c r="D333" s="30"/>
      <c r="E333" s="30">
        <f t="shared" ref="E333:H333" ca="1" si="137">D1263</f>
        <v>0</v>
      </c>
      <c r="F333" s="30">
        <f t="shared" ca="1" si="137"/>
        <v>64234.473874999996</v>
      </c>
      <c r="G333" s="30">
        <f t="shared" ca="1" si="137"/>
        <v>58524.742863888889</v>
      </c>
      <c r="H333" s="30">
        <f t="shared" ca="1" si="137"/>
        <v>52489.378756050348</v>
      </c>
    </row>
    <row r="334" spans="2:8">
      <c r="B334" s="152">
        <f t="shared" si="106"/>
        <v>0</v>
      </c>
      <c r="D334" s="30"/>
      <c r="E334" s="30">
        <f t="shared" ref="E334:H334" ca="1" si="138">D1264</f>
        <v>261878.83728125002</v>
      </c>
      <c r="F334" s="30">
        <f t="shared" ca="1" si="138"/>
        <v>261543.0951821715</v>
      </c>
      <c r="G334" s="30">
        <f t="shared" ca="1" si="138"/>
        <v>261026.89170483826</v>
      </c>
      <c r="H334" s="30">
        <f t="shared" ca="1" si="138"/>
        <v>260321.41361914948</v>
      </c>
    </row>
    <row r="335" spans="2:8">
      <c r="B335" s="152">
        <f t="shared" ref="B335:B356" si="139">B150</f>
        <v>0</v>
      </c>
      <c r="D335" s="30"/>
      <c r="E335" s="30">
        <f t="shared" ref="E335:H335" ca="1" si="140">D1265</f>
        <v>0</v>
      </c>
      <c r="F335" s="30">
        <f t="shared" ca="1" si="140"/>
        <v>-13273.960590625011</v>
      </c>
      <c r="G335" s="30">
        <f t="shared" ca="1" si="140"/>
        <v>-13256.942692431901</v>
      </c>
      <c r="H335" s="30">
        <f t="shared" ca="1" si="140"/>
        <v>-13230.777673959996</v>
      </c>
    </row>
    <row r="336" spans="2:8">
      <c r="B336" s="152">
        <f t="shared" si="139"/>
        <v>0</v>
      </c>
      <c r="D336" s="30"/>
      <c r="E336" s="30">
        <f t="shared" ref="E336:H336" ca="1" si="141">D1266</f>
        <v>-529.1635</v>
      </c>
      <c r="F336" s="30">
        <f t="shared" ca="1" si="141"/>
        <v>-523.68939482758617</v>
      </c>
      <c r="G336" s="30">
        <f t="shared" ca="1" si="141"/>
        <v>-517.61085720905169</v>
      </c>
      <c r="H336" s="30">
        <f t="shared" ca="1" si="141"/>
        <v>-510.90108683782324</v>
      </c>
    </row>
    <row r="337" spans="2:8">
      <c r="B337" s="152">
        <f t="shared" si="139"/>
        <v>0</v>
      </c>
      <c r="D337" s="30"/>
      <c r="E337" s="30">
        <f t="shared" ref="E337:H337" ca="1" si="142">D1267</f>
        <v>19356.384745833333</v>
      </c>
      <c r="F337" s="30">
        <f t="shared" ca="1" si="142"/>
        <v>19156.146282945403</v>
      </c>
      <c r="G337" s="30">
        <f t="shared" ca="1" si="142"/>
        <v>18933.79815644693</v>
      </c>
      <c r="H337" s="30">
        <f t="shared" ca="1" si="142"/>
        <v>18688.360032196691</v>
      </c>
    </row>
    <row r="338" spans="2:8">
      <c r="B338" s="152">
        <f t="shared" si="139"/>
        <v>0</v>
      </c>
      <c r="D338" s="30"/>
      <c r="E338" s="30">
        <f t="shared" ref="E338:H338" ca="1" si="143">D1268</f>
        <v>3831.3587499999999</v>
      </c>
      <c r="F338" s="30">
        <f t="shared" ca="1" si="143"/>
        <v>3791.7240043103448</v>
      </c>
      <c r="G338" s="30">
        <f t="shared" ca="1" si="143"/>
        <v>3747.7129221174569</v>
      </c>
      <c r="H338" s="30">
        <f t="shared" ca="1" si="143"/>
        <v>3699.1314583122307</v>
      </c>
    </row>
    <row r="339" spans="2:8">
      <c r="B339" s="152">
        <f t="shared" si="139"/>
        <v>0</v>
      </c>
      <c r="D339" s="30"/>
      <c r="E339" s="30">
        <f t="shared" ref="E339:H339" ca="1" si="144">D1269</f>
        <v>0</v>
      </c>
      <c r="F339" s="30">
        <f t="shared" ca="1" si="144"/>
        <v>1115.1951541666665</v>
      </c>
      <c r="G339" s="30">
        <f t="shared" ca="1" si="144"/>
        <v>1103.658652571839</v>
      </c>
      <c r="H339" s="30">
        <f t="shared" ca="1" si="144"/>
        <v>1090.8483289259159</v>
      </c>
    </row>
    <row r="340" spans="2:8">
      <c r="B340" s="152">
        <f t="shared" si="139"/>
        <v>0</v>
      </c>
      <c r="D340" s="30"/>
      <c r="E340" s="30">
        <f t="shared" ref="E340:H340" ca="1" si="145">D1270</f>
        <v>0</v>
      </c>
      <c r="F340" s="30">
        <f t="shared" ca="1" si="145"/>
        <v>0</v>
      </c>
      <c r="G340" s="30">
        <f t="shared" ca="1" si="145"/>
        <v>4977.083333333333</v>
      </c>
      <c r="H340" s="30">
        <f t="shared" ca="1" si="145"/>
        <v>4925.5962643678158</v>
      </c>
    </row>
    <row r="341" spans="2:8">
      <c r="B341" s="152">
        <f t="shared" si="139"/>
        <v>0</v>
      </c>
      <c r="D341" s="30"/>
      <c r="E341" s="30">
        <f t="shared" ref="E341:H341" ca="1" si="146">D1271</f>
        <v>0</v>
      </c>
      <c r="F341" s="30">
        <f t="shared" ca="1" si="146"/>
        <v>0</v>
      </c>
      <c r="G341" s="30">
        <f t="shared" ca="1" si="146"/>
        <v>0</v>
      </c>
      <c r="H341" s="30">
        <f t="shared" ca="1" si="146"/>
        <v>4977.083333333333</v>
      </c>
    </row>
    <row r="342" spans="2:8">
      <c r="B342" s="152">
        <f t="shared" si="139"/>
        <v>0</v>
      </c>
      <c r="D342" s="30"/>
      <c r="E342" s="30">
        <f t="shared" ref="E342:H342" ca="1" si="147">D1272</f>
        <v>0</v>
      </c>
      <c r="F342" s="30">
        <f t="shared" ca="1" si="147"/>
        <v>0</v>
      </c>
      <c r="G342" s="30">
        <f t="shared" ca="1" si="147"/>
        <v>0</v>
      </c>
      <c r="H342" s="30">
        <f t="shared" ca="1" si="147"/>
        <v>0</v>
      </c>
    </row>
    <row r="343" spans="2:8">
      <c r="B343" s="152">
        <f t="shared" si="139"/>
        <v>0</v>
      </c>
      <c r="D343" s="30"/>
      <c r="E343" s="30">
        <f t="shared" ref="E343:H343" ca="1" si="148">D1273</f>
        <v>321849.09071875003</v>
      </c>
      <c r="F343" s="30">
        <f t="shared" ca="1" si="148"/>
        <v>321436.46367936704</v>
      </c>
      <c r="G343" s="30">
        <f t="shared" ca="1" si="148"/>
        <v>320802.04960631562</v>
      </c>
      <c r="H343" s="30">
        <f t="shared" ca="1" si="148"/>
        <v>319935.01703981211</v>
      </c>
    </row>
    <row r="344" spans="2:8">
      <c r="B344" s="152">
        <f t="shared" si="139"/>
        <v>0</v>
      </c>
      <c r="D344" s="30"/>
      <c r="E344" s="30">
        <f t="shared" ref="E344:H344" ca="1" si="149">D1274</f>
        <v>0</v>
      </c>
      <c r="F344" s="30">
        <f t="shared" ca="1" si="149"/>
        <v>10401.198609375</v>
      </c>
      <c r="G344" s="30">
        <f t="shared" ca="1" si="149"/>
        <v>10387.86373936298</v>
      </c>
      <c r="H344" s="30">
        <f t="shared" ca="1" si="149"/>
        <v>10367.3613767195</v>
      </c>
    </row>
    <row r="345" spans="2:8">
      <c r="B345" s="152">
        <f t="shared" si="139"/>
        <v>0</v>
      </c>
      <c r="D345" s="30"/>
      <c r="E345" s="30">
        <f t="shared" ref="E345:H345" ca="1" si="150">D1275</f>
        <v>71272.76711666667</v>
      </c>
      <c r="F345" s="30">
        <f t="shared" ca="1" si="150"/>
        <v>67836.401559255959</v>
      </c>
      <c r="G345" s="30">
        <f t="shared" ca="1" si="150"/>
        <v>64183.672244526788</v>
      </c>
      <c r="H345" s="30">
        <f t="shared" ca="1" si="150"/>
        <v>60305.908713086632</v>
      </c>
    </row>
    <row r="346" spans="2:8">
      <c r="B346" s="152">
        <f t="shared" si="139"/>
        <v>0</v>
      </c>
      <c r="D346" s="30"/>
      <c r="E346" s="30">
        <f t="shared" ref="E346:H346" ca="1" si="151">D1276</f>
        <v>0</v>
      </c>
      <c r="F346" s="30">
        <f t="shared" ca="1" si="151"/>
        <v>124504.1015625</v>
      </c>
      <c r="G346" s="30">
        <f t="shared" ca="1" si="151"/>
        <v>126001.3027838212</v>
      </c>
      <c r="H346" s="30">
        <f t="shared" ca="1" si="151"/>
        <v>127495.54900273189</v>
      </c>
    </row>
    <row r="347" spans="2:8">
      <c r="B347" s="152">
        <f t="shared" si="139"/>
        <v>0</v>
      </c>
      <c r="D347" s="30"/>
      <c r="E347" s="30">
        <f t="shared" ref="E347:H347" ca="1" si="152">D1277</f>
        <v>41924.414525000007</v>
      </c>
      <c r="F347" s="30">
        <f t="shared" ca="1" si="152"/>
        <v>41870.665275608982</v>
      </c>
      <c r="G347" s="30">
        <f t="shared" ca="1" si="152"/>
        <v>41788.02580467028</v>
      </c>
      <c r="H347" s="30">
        <f t="shared" ca="1" si="152"/>
        <v>41675.085194387386</v>
      </c>
    </row>
    <row r="348" spans="2:8">
      <c r="B348" s="152">
        <f t="shared" si="139"/>
        <v>0</v>
      </c>
      <c r="D348" s="30"/>
      <c r="E348" s="30">
        <f t="shared" ref="E348:H348" ca="1" si="153">D1278</f>
        <v>0</v>
      </c>
      <c r="F348" s="30">
        <f t="shared" ca="1" si="153"/>
        <v>271068.75</v>
      </c>
      <c r="G348" s="30">
        <f t="shared" ca="1" si="153"/>
        <v>273136.22351694916</v>
      </c>
      <c r="H348" s="30">
        <f t="shared" ca="1" si="153"/>
        <v>275137.65274099575</v>
      </c>
    </row>
    <row r="349" spans="2:8">
      <c r="B349" s="152">
        <f t="shared" si="139"/>
        <v>0</v>
      </c>
      <c r="D349" s="30"/>
      <c r="E349" s="30">
        <f t="shared" ref="E349:H349" ca="1" si="154">D1279</f>
        <v>0</v>
      </c>
      <c r="F349" s="30">
        <f t="shared" ca="1" si="154"/>
        <v>81705.288750000007</v>
      </c>
      <c r="G349" s="30">
        <f t="shared" ca="1" si="154"/>
        <v>74442.596416666682</v>
      </c>
      <c r="H349" s="30">
        <f t="shared" ca="1" si="154"/>
        <v>66765.703661197927</v>
      </c>
    </row>
    <row r="350" spans="2:8">
      <c r="B350" s="152">
        <f t="shared" si="139"/>
        <v>0</v>
      </c>
      <c r="D350" s="30"/>
      <c r="E350" s="30">
        <f t="shared" ref="E350:H350" ca="1" si="155">D1280</f>
        <v>100492.54116666668</v>
      </c>
      <c r="F350" s="30">
        <f t="shared" ca="1" si="155"/>
        <v>95647.365074702393</v>
      </c>
      <c r="G350" s="30">
        <f t="shared" ca="1" si="155"/>
        <v>90497.122339910726</v>
      </c>
      <c r="H350" s="30">
        <f t="shared" ca="1" si="155"/>
        <v>85029.587865207781</v>
      </c>
    </row>
    <row r="351" spans="2:8">
      <c r="B351" s="152">
        <f t="shared" si="139"/>
        <v>0</v>
      </c>
      <c r="D351" s="30"/>
      <c r="E351" s="30">
        <f t="shared" ref="E351:H351" ca="1" si="156">D1281</f>
        <v>0</v>
      </c>
      <c r="F351" s="30">
        <f t="shared" ca="1" si="156"/>
        <v>3380.2786333333333</v>
      </c>
      <c r="G351" s="30">
        <f t="shared" ca="1" si="156"/>
        <v>3217.3009135119046</v>
      </c>
      <c r="H351" s="30">
        <f t="shared" ca="1" si="156"/>
        <v>3044.061633553571</v>
      </c>
    </row>
    <row r="352" spans="2:8">
      <c r="B352" s="152">
        <f t="shared" si="139"/>
        <v>0</v>
      </c>
      <c r="D352" s="30"/>
      <c r="E352" s="30">
        <f t="shared" ref="E352:H352" ca="1" si="157">D1282</f>
        <v>158013.58531874997</v>
      </c>
      <c r="F352" s="30">
        <f t="shared" ca="1" si="157"/>
        <v>157811.00379911053</v>
      </c>
      <c r="G352" s="30">
        <f t="shared" ca="1" si="157"/>
        <v>157499.5347126649</v>
      </c>
      <c r="H352" s="30">
        <f t="shared" ca="1" si="157"/>
        <v>157073.86029452254</v>
      </c>
    </row>
    <row r="353" spans="2:8">
      <c r="B353" s="152">
        <f t="shared" si="139"/>
        <v>0</v>
      </c>
      <c r="D353" s="30"/>
      <c r="E353" s="30">
        <f t="shared" ref="E353:H353" ca="1" si="158">D1283</f>
        <v>0</v>
      </c>
      <c r="F353" s="30">
        <f t="shared" ca="1" si="158"/>
        <v>79033.854200000002</v>
      </c>
      <c r="G353" s="30">
        <f t="shared" ca="1" si="158"/>
        <v>78932.528745897434</v>
      </c>
      <c r="H353" s="30">
        <f t="shared" ca="1" si="158"/>
        <v>78776.740860214748</v>
      </c>
    </row>
    <row r="354" spans="2:8">
      <c r="B354" s="152">
        <f t="shared" si="139"/>
        <v>0</v>
      </c>
      <c r="D354" s="30"/>
      <c r="E354" s="30">
        <f t="shared" ref="E354:H354" ca="1" si="159">D1284</f>
        <v>219280.1015125</v>
      </c>
      <c r="F354" s="30">
        <f t="shared" ca="1" si="159"/>
        <v>220952.57686301909</v>
      </c>
      <c r="G354" s="30">
        <f t="shared" ca="1" si="159"/>
        <v>222571.6259176188</v>
      </c>
      <c r="H354" s="30">
        <f t="shared" ca="1" si="159"/>
        <v>224133.53206440911</v>
      </c>
    </row>
    <row r="355" spans="2:8">
      <c r="B355" s="152">
        <f t="shared" si="139"/>
        <v>0</v>
      </c>
      <c r="D355" s="30"/>
      <c r="E355" s="30">
        <f t="shared" ref="E355:H355" ca="1" si="160">D1285</f>
        <v>0</v>
      </c>
      <c r="F355" s="30">
        <f t="shared" ca="1" si="160"/>
        <v>136538.33333333334</v>
      </c>
      <c r="G355" s="30">
        <f t="shared" ca="1" si="160"/>
        <v>137579.72740112996</v>
      </c>
      <c r="H355" s="30">
        <f t="shared" ca="1" si="160"/>
        <v>138587.85471398308</v>
      </c>
    </row>
    <row r="356" spans="2:8">
      <c r="B356" s="152">
        <f t="shared" si="139"/>
        <v>0</v>
      </c>
      <c r="D356" s="30"/>
      <c r="E356" s="30">
        <f t="shared" ref="E356:H356" ca="1" si="161">D1286</f>
        <v>0</v>
      </c>
      <c r="F356" s="30">
        <f t="shared" ca="1" si="161"/>
        <v>235930.20833333334</v>
      </c>
      <c r="G356" s="30">
        <f t="shared" ca="1" si="161"/>
        <v>237729.67602401131</v>
      </c>
      <c r="H356" s="30">
        <f t="shared" ca="1" si="161"/>
        <v>239471.66071901485</v>
      </c>
    </row>
    <row r="357" spans="2:8">
      <c r="B357" s="152">
        <f t="shared" ref="B357:B389" si="162">B172</f>
        <v>0</v>
      </c>
      <c r="D357" s="30"/>
      <c r="E357" s="30">
        <f t="shared" ref="E357:H357" ca="1" si="163">D1287</f>
        <v>65555.044099999999</v>
      </c>
      <c r="F357" s="30">
        <f t="shared" ca="1" si="163"/>
        <v>50395.440151874995</v>
      </c>
      <c r="G357" s="30">
        <f t="shared" ca="1" si="163"/>
        <v>34436.884103781253</v>
      </c>
      <c r="H357" s="30">
        <f t="shared" ca="1" si="163"/>
        <v>17648.903103187891</v>
      </c>
    </row>
    <row r="358" spans="2:8">
      <c r="B358" s="152">
        <f t="shared" si="162"/>
        <v>0</v>
      </c>
      <c r="D358" s="30"/>
      <c r="E358" s="30">
        <f t="shared" ref="E358:H358" ca="1" si="164">D1288</f>
        <v>0</v>
      </c>
      <c r="F358" s="30">
        <f t="shared" ca="1" si="164"/>
        <v>100304.10389999999</v>
      </c>
      <c r="G358" s="30">
        <f t="shared" ca="1" si="164"/>
        <v>77108.779873124993</v>
      </c>
      <c r="H358" s="30">
        <f t="shared" ca="1" si="164"/>
        <v>52690.999579968746</v>
      </c>
    </row>
    <row r="359" spans="2:8">
      <c r="B359" s="152">
        <f t="shared" si="162"/>
        <v>0</v>
      </c>
      <c r="D359" s="30"/>
      <c r="E359" s="30">
        <f t="shared" ref="E359:H359" ca="1" si="165">D1289</f>
        <v>0</v>
      </c>
      <c r="F359" s="30">
        <f t="shared" ca="1" si="165"/>
        <v>493437.5</v>
      </c>
      <c r="G359" s="30">
        <f t="shared" ca="1" si="165"/>
        <v>479153.78289473685</v>
      </c>
      <c r="H359" s="30">
        <f t="shared" ca="1" si="165"/>
        <v>463847.48149671056</v>
      </c>
    </row>
    <row r="360" spans="2:8">
      <c r="B360" s="152">
        <f t="shared" si="162"/>
        <v>0</v>
      </c>
      <c r="D360" s="30"/>
      <c r="E360" s="30">
        <f t="shared" ref="E360:H360" ca="1" si="166">D1290</f>
        <v>544958.46724375011</v>
      </c>
      <c r="F360" s="30">
        <f t="shared" ca="1" si="166"/>
        <v>544259.80254215561</v>
      </c>
      <c r="G360" s="30">
        <f t="shared" ca="1" si="166"/>
        <v>543185.60556345398</v>
      </c>
      <c r="H360" s="30">
        <f t="shared" ca="1" si="166"/>
        <v>541717.53635922843</v>
      </c>
    </row>
    <row r="361" spans="2:8">
      <c r="B361" s="152">
        <f t="shared" si="162"/>
        <v>0</v>
      </c>
      <c r="D361" s="30"/>
      <c r="E361" s="30">
        <f t="shared" ref="E361:H361" ca="1" si="167">D1291</f>
        <v>0</v>
      </c>
      <c r="F361" s="30">
        <f t="shared" ca="1" si="167"/>
        <v>1812807.78048125</v>
      </c>
      <c r="G361" s="30">
        <f t="shared" ca="1" si="167"/>
        <v>1810483.6679421715</v>
      </c>
      <c r="H361" s="30">
        <f t="shared" ca="1" si="167"/>
        <v>1806910.3449133383</v>
      </c>
    </row>
    <row r="362" spans="2:8">
      <c r="B362" s="152">
        <f t="shared" si="162"/>
        <v>0</v>
      </c>
      <c r="D362" s="30"/>
      <c r="E362" s="30">
        <f t="shared" ref="E362:H362" ca="1" si="168">D1292</f>
        <v>0</v>
      </c>
      <c r="F362" s="30">
        <f t="shared" ca="1" si="168"/>
        <v>159950</v>
      </c>
      <c r="G362" s="30">
        <f t="shared" ca="1" si="168"/>
        <v>159744.93589743591</v>
      </c>
      <c r="H362" s="30">
        <f t="shared" ca="1" si="168"/>
        <v>159429.64983974359</v>
      </c>
    </row>
    <row r="363" spans="2:8">
      <c r="B363" s="152">
        <f t="shared" si="162"/>
        <v>0</v>
      </c>
      <c r="D363" s="30"/>
      <c r="E363" s="30">
        <f t="shared" ref="E363:H363" ca="1" si="169">D1293</f>
        <v>0</v>
      </c>
      <c r="F363" s="30">
        <f t="shared" ca="1" si="169"/>
        <v>810346.68750000012</v>
      </c>
      <c r="G363" s="30">
        <f t="shared" ca="1" si="169"/>
        <v>809307.78149038483</v>
      </c>
      <c r="H363" s="30">
        <f t="shared" ca="1" si="169"/>
        <v>807710.46350060124</v>
      </c>
    </row>
    <row r="364" spans="2:8">
      <c r="B364" s="152">
        <f t="shared" si="162"/>
        <v>0</v>
      </c>
      <c r="D364" s="30"/>
      <c r="E364" s="30">
        <f t="shared" ref="E364:H364" ca="1" si="170">D1294</f>
        <v>0</v>
      </c>
      <c r="F364" s="30">
        <f t="shared" ca="1" si="170"/>
        <v>64884.375</v>
      </c>
      <c r="G364" s="30">
        <f t="shared" ca="1" si="170"/>
        <v>59116.875</v>
      </c>
      <c r="H364" s="30">
        <f t="shared" ca="1" si="170"/>
        <v>53020.447265625</v>
      </c>
    </row>
    <row r="365" spans="2:8">
      <c r="B365" s="152">
        <f t="shared" si="162"/>
        <v>0</v>
      </c>
      <c r="D365" s="30"/>
      <c r="E365" s="30">
        <f t="shared" ref="E365:H365" ca="1" si="171">D1295</f>
        <v>0</v>
      </c>
      <c r="F365" s="30">
        <f t="shared" ca="1" si="171"/>
        <v>758095.52109375002</v>
      </c>
      <c r="G365" s="30">
        <f t="shared" ca="1" si="171"/>
        <v>757123.60375901451</v>
      </c>
      <c r="H365" s="30">
        <f t="shared" ca="1" si="171"/>
        <v>755629.28085685859</v>
      </c>
    </row>
    <row r="366" spans="2:8">
      <c r="B366" s="152">
        <f t="shared" si="162"/>
        <v>0</v>
      </c>
      <c r="D366" s="30"/>
      <c r="E366" s="30">
        <f t="shared" ref="E366:H366" ca="1" si="172">D1296</f>
        <v>5563203.8613354564</v>
      </c>
      <c r="F366" s="30">
        <f t="shared" ca="1" si="172"/>
        <v>5664013.595735494</v>
      </c>
      <c r="G366" s="30">
        <f t="shared" ca="1" si="172"/>
        <v>5766386.8144421997</v>
      </c>
      <c r="H366" s="30">
        <f t="shared" ca="1" si="172"/>
        <v>5870338.685586906</v>
      </c>
    </row>
    <row r="367" spans="2:8">
      <c r="B367" s="152">
        <f t="shared" si="162"/>
        <v>0</v>
      </c>
      <c r="D367" s="30"/>
      <c r="E367" s="30">
        <f t="shared" ref="E367:H367" ca="1" si="173">D1297</f>
        <v>391192.352229524</v>
      </c>
      <c r="F367" s="30">
        <f t="shared" ca="1" si="173"/>
        <v>398281.07270616636</v>
      </c>
      <c r="G367" s="30">
        <f t="shared" ca="1" si="173"/>
        <v>405479.73398649739</v>
      </c>
      <c r="H367" s="30">
        <f t="shared" ca="1" si="173"/>
        <v>412789.40266040363</v>
      </c>
    </row>
    <row r="368" spans="2:8">
      <c r="B368" s="152">
        <f t="shared" si="162"/>
        <v>0</v>
      </c>
      <c r="D368" s="30"/>
      <c r="E368" s="30">
        <f t="shared" ref="E368:H368" ca="1" si="174">D1298</f>
        <v>104742.70370531637</v>
      </c>
      <c r="F368" s="30">
        <f t="shared" ca="1" si="174"/>
        <v>103659.15849457172</v>
      </c>
      <c r="G368" s="30">
        <f t="shared" ca="1" si="174"/>
        <v>102455.971833474</v>
      </c>
      <c r="H368" s="30">
        <f t="shared" ca="1" si="174"/>
        <v>101127.8388652623</v>
      </c>
    </row>
    <row r="369" spans="2:8">
      <c r="B369" s="152">
        <f t="shared" si="162"/>
        <v>0</v>
      </c>
      <c r="D369" s="30"/>
      <c r="E369" s="30">
        <f t="shared" ref="E369:H369" ca="1" si="175">D1299</f>
        <v>10930.934288924002</v>
      </c>
      <c r="F369" s="30">
        <f t="shared" ca="1" si="175"/>
        <v>10614.512506876203</v>
      </c>
      <c r="G369" s="30">
        <f t="shared" ca="1" si="175"/>
        <v>10275.437801795435</v>
      </c>
      <c r="H369" s="30">
        <f t="shared" ca="1" si="175"/>
        <v>9912.7752911438311</v>
      </c>
    </row>
    <row r="370" spans="2:8">
      <c r="B370" s="152">
        <f t="shared" si="162"/>
        <v>0</v>
      </c>
      <c r="D370" s="30"/>
      <c r="E370" s="30">
        <f t="shared" ref="E370:H370" ca="1" si="176">D1300</f>
        <v>47911.967799226433</v>
      </c>
      <c r="F370" s="30">
        <f t="shared" ca="1" si="176"/>
        <v>43653.126217072975</v>
      </c>
      <c r="G370" s="30">
        <f t="shared" ca="1" si="176"/>
        <v>39151.397575937328</v>
      </c>
      <c r="H370" s="30">
        <f t="shared" ca="1" si="176"/>
        <v>34397.299298859223</v>
      </c>
    </row>
    <row r="371" spans="2:8">
      <c r="B371" s="152">
        <f t="shared" si="162"/>
        <v>0</v>
      </c>
      <c r="D371" s="30"/>
      <c r="E371" s="30">
        <f t="shared" ref="E371:H371" ca="1" si="177">D1301</f>
        <v>6041.6409630844155</v>
      </c>
      <c r="F371" s="30">
        <f t="shared" ca="1" si="177"/>
        <v>5866.7513562582881</v>
      </c>
      <c r="G371" s="30">
        <f t="shared" ca="1" si="177"/>
        <v>5679.341243488926</v>
      </c>
      <c r="H371" s="30">
        <f t="shared" ca="1" si="177"/>
        <v>5478.8939054834345</v>
      </c>
    </row>
    <row r="372" spans="2:8">
      <c r="B372" s="152">
        <f t="shared" si="162"/>
        <v>0</v>
      </c>
      <c r="D372" s="30"/>
      <c r="E372" s="30">
        <f t="shared" ref="E372:H372" ca="1" si="178">D1302</f>
        <v>30469.63785348376</v>
      </c>
      <c r="F372" s="30">
        <f t="shared" ca="1" si="178"/>
        <v>30154.434703275307</v>
      </c>
      <c r="G372" s="30">
        <f t="shared" ca="1" si="178"/>
        <v>29804.427871898006</v>
      </c>
      <c r="H372" s="30">
        <f t="shared" ca="1" si="178"/>
        <v>29418.07417726229</v>
      </c>
    </row>
    <row r="373" spans="2:8">
      <c r="B373" s="152">
        <f t="shared" si="162"/>
        <v>0</v>
      </c>
      <c r="D373" s="30"/>
      <c r="E373" s="30">
        <f t="shared" ref="E373:H373" ca="1" si="179">D1303</f>
        <v>27412.024693518873</v>
      </c>
      <c r="F373" s="30">
        <f t="shared" ca="1" si="179"/>
        <v>27128.452024275575</v>
      </c>
      <c r="G373" s="30">
        <f t="shared" ca="1" si="179"/>
        <v>26813.568206136664</v>
      </c>
      <c r="H373" s="30">
        <f t="shared" ca="1" si="179"/>
        <v>26465.984914575634</v>
      </c>
    </row>
    <row r="374" spans="2:8">
      <c r="B374" s="152">
        <f t="shared" si="162"/>
        <v>0</v>
      </c>
      <c r="D374" s="30"/>
      <c r="E374" s="30">
        <f t="shared" ref="E374:H374" ca="1" si="180">D1304</f>
        <v>6041.6356011700527</v>
      </c>
      <c r="F374" s="30">
        <f t="shared" ca="1" si="180"/>
        <v>5866.7461495572352</v>
      </c>
      <c r="G374" s="30">
        <f t="shared" ca="1" si="180"/>
        <v>5679.3362031130455</v>
      </c>
      <c r="H374" s="30">
        <f t="shared" ca="1" si="180"/>
        <v>5478.8890430031734</v>
      </c>
    </row>
    <row r="375" spans="2:8">
      <c r="B375" s="152">
        <f t="shared" si="162"/>
        <v>0</v>
      </c>
      <c r="D375" s="30"/>
      <c r="E375" s="30">
        <f t="shared" ref="E375:H375" ca="1" si="181">D1305</f>
        <v>9058.9377914760717</v>
      </c>
      <c r="F375" s="30">
        <f t="shared" ca="1" si="181"/>
        <v>8796.705381722817</v>
      </c>
      <c r="G375" s="30">
        <f t="shared" ca="1" si="181"/>
        <v>8515.6995153622265</v>
      </c>
      <c r="H375" s="30">
        <f t="shared" ca="1" si="181"/>
        <v>8215.1454148200301</v>
      </c>
    </row>
    <row r="376" spans="2:8">
      <c r="B376" s="152">
        <f t="shared" si="162"/>
        <v>0</v>
      </c>
      <c r="D376" s="30"/>
      <c r="E376" s="30">
        <f t="shared" ref="E376:H376" ca="1" si="182">D1306</f>
        <v>573543.67850717413</v>
      </c>
      <c r="F376" s="30">
        <f t="shared" ca="1" si="182"/>
        <v>581944.06571763277</v>
      </c>
      <c r="G376" s="30">
        <f t="shared" ca="1" si="182"/>
        <v>590406.00748954725</v>
      </c>
      <c r="H376" s="30">
        <f t="shared" ca="1" si="182"/>
        <v>598927.33130898408</v>
      </c>
    </row>
    <row r="377" spans="2:8">
      <c r="B377" s="152">
        <f t="shared" si="162"/>
        <v>0</v>
      </c>
      <c r="D377" s="30"/>
      <c r="E377" s="30">
        <f t="shared" ref="E377:H377" ca="1" si="183">D1307</f>
        <v>101718.23171652023</v>
      </c>
      <c r="F377" s="30">
        <f t="shared" ca="1" si="183"/>
        <v>103208.04420125714</v>
      </c>
      <c r="G377" s="30">
        <f t="shared" ca="1" si="183"/>
        <v>104708.77341540808</v>
      </c>
      <c r="H377" s="30">
        <f t="shared" ca="1" si="183"/>
        <v>106220.03406264079</v>
      </c>
    </row>
    <row r="378" spans="2:8">
      <c r="B378" s="152">
        <f t="shared" si="162"/>
        <v>0</v>
      </c>
      <c r="D378" s="30"/>
      <c r="E378" s="30">
        <f t="shared" ref="E378:H378" ca="1" si="184">D1308</f>
        <v>132355.66053187722</v>
      </c>
      <c r="F378" s="30">
        <f t="shared" ca="1" si="184"/>
        <v>120590.71292904369</v>
      </c>
      <c r="G378" s="30">
        <f t="shared" ca="1" si="184"/>
        <v>108154.79565823606</v>
      </c>
      <c r="H378" s="30">
        <f t="shared" ca="1" si="184"/>
        <v>95021.713328307407</v>
      </c>
    </row>
    <row r="379" spans="2:8">
      <c r="B379" s="152">
        <f t="shared" si="162"/>
        <v>0</v>
      </c>
      <c r="D379" s="30"/>
      <c r="E379" s="30">
        <f t="shared" ref="E379:H379" ca="1" si="185">D1309</f>
        <v>637418.45019846549</v>
      </c>
      <c r="F379" s="30">
        <f t="shared" ca="1" si="185"/>
        <v>626130.83180953434</v>
      </c>
      <c r="G379" s="30">
        <f t="shared" ca="1" si="185"/>
        <v>613880.44596978254</v>
      </c>
      <c r="H379" s="30">
        <f t="shared" ca="1" si="185"/>
        <v>600626.20906816225</v>
      </c>
    </row>
    <row r="380" spans="2:8">
      <c r="B380" s="152">
        <f t="shared" si="162"/>
        <v>0</v>
      </c>
      <c r="D380" s="30"/>
      <c r="E380" s="30">
        <f t="shared" ref="E380:H380" ca="1" si="186">D1310</f>
        <v>483927.10324999999</v>
      </c>
      <c r="F380" s="30">
        <f t="shared" ca="1" si="186"/>
        <v>492696.25210083893</v>
      </c>
      <c r="G380" s="30">
        <f t="shared" ca="1" si="186"/>
        <v>501601.40395468852</v>
      </c>
      <c r="H380" s="30">
        <f t="shared" ca="1" si="186"/>
        <v>510643.8782436676</v>
      </c>
    </row>
    <row r="381" spans="2:8">
      <c r="B381" s="152">
        <f t="shared" si="162"/>
        <v>0</v>
      </c>
      <c r="D381" s="30"/>
      <c r="E381" s="30">
        <f t="shared" ref="E381:H381" ca="1" si="187">D1311</f>
        <v>33686.692847869155</v>
      </c>
      <c r="F381" s="30">
        <f t="shared" ca="1" si="187"/>
        <v>34180.083803721784</v>
      </c>
      <c r="G381" s="30">
        <f t="shared" ca="1" si="187"/>
        <v>34677.090124337119</v>
      </c>
      <c r="H381" s="30">
        <f t="shared" ca="1" si="187"/>
        <v>35177.584208605906</v>
      </c>
    </row>
    <row r="382" spans="2:8">
      <c r="B382" s="152">
        <f t="shared" si="162"/>
        <v>0</v>
      </c>
      <c r="D382" s="30"/>
      <c r="E382" s="30">
        <f t="shared" ref="E382:H382" ca="1" si="188">D1312</f>
        <v>259469.21789398036</v>
      </c>
      <c r="F382" s="30">
        <f t="shared" ca="1" si="188"/>
        <v>262589.41734966746</v>
      </c>
      <c r="G382" s="30">
        <f t="shared" ca="1" si="188"/>
        <v>265703.4585169552</v>
      </c>
      <c r="H382" s="30">
        <f t="shared" ca="1" si="188"/>
        <v>268809.08335676382</v>
      </c>
    </row>
    <row r="383" spans="2:8">
      <c r="B383" s="152">
        <f t="shared" si="162"/>
        <v>0</v>
      </c>
      <c r="D383" s="30"/>
      <c r="E383" s="30">
        <f t="shared" ref="E383:H383" ca="1" si="189">D1313</f>
        <v>66725.225495108592</v>
      </c>
      <c r="F383" s="30">
        <f t="shared" ca="1" si="189"/>
        <v>67234.146706511965</v>
      </c>
      <c r="G383" s="30">
        <f t="shared" ca="1" si="189"/>
        <v>67726.810712551058</v>
      </c>
      <c r="H383" s="30">
        <f t="shared" ca="1" si="189"/>
        <v>68202.086577200549</v>
      </c>
    </row>
    <row r="384" spans="2:8">
      <c r="B384" s="152">
        <f t="shared" si="162"/>
        <v>0</v>
      </c>
      <c r="D384" s="30"/>
      <c r="E384" s="30">
        <f t="shared" ref="E384:H384" ca="1" si="190">D1314</f>
        <v>29333.997185113636</v>
      </c>
      <c r="F384" s="30">
        <f t="shared" ca="1" si="190"/>
        <v>29030.542041819357</v>
      </c>
      <c r="G384" s="30">
        <f t="shared" ca="1" si="190"/>
        <v>28693.580393119671</v>
      </c>
      <c r="H384" s="30">
        <f t="shared" ca="1" si="190"/>
        <v>28321.626573208861</v>
      </c>
    </row>
    <row r="385" spans="2:8">
      <c r="B385" s="152">
        <f t="shared" si="162"/>
        <v>0</v>
      </c>
      <c r="D385" s="30"/>
      <c r="E385" s="30">
        <f t="shared" ref="E385:H385" ca="1" si="191">D1315</f>
        <v>29333.997185113636</v>
      </c>
      <c r="F385" s="30">
        <f t="shared" ca="1" si="191"/>
        <v>29030.542041819357</v>
      </c>
      <c r="G385" s="30">
        <f t="shared" ca="1" si="191"/>
        <v>28693.580393119671</v>
      </c>
      <c r="H385" s="30">
        <f t="shared" ca="1" si="191"/>
        <v>28321.626573208861</v>
      </c>
    </row>
    <row r="386" spans="2:8">
      <c r="B386" s="152">
        <f t="shared" si="162"/>
        <v>0</v>
      </c>
      <c r="D386" s="30"/>
      <c r="E386" s="30">
        <f t="shared" ref="E386:H386" ca="1" si="192">D1316</f>
        <v>83969.590468750001</v>
      </c>
      <c r="F386" s="30">
        <f t="shared" ca="1" si="192"/>
        <v>84979.351366791932</v>
      </c>
      <c r="G386" s="30">
        <f t="shared" ca="1" si="192"/>
        <v>85987.119315692995</v>
      </c>
      <c r="H386" s="30">
        <f t="shared" ca="1" si="192"/>
        <v>86992.163567434865</v>
      </c>
    </row>
    <row r="387" spans="2:8">
      <c r="B387" s="152">
        <f t="shared" si="162"/>
        <v>0</v>
      </c>
      <c r="D387" s="30"/>
      <c r="E387" s="30">
        <f t="shared" ref="E387:H387" ca="1" si="193">D1317</f>
        <v>99751.61361249999</v>
      </c>
      <c r="F387" s="30">
        <f t="shared" ca="1" si="193"/>
        <v>90884.803513611099</v>
      </c>
      <c r="G387" s="30">
        <f t="shared" ca="1" si="193"/>
        <v>81512.308151269957</v>
      </c>
      <c r="H387" s="30">
        <f t="shared" ca="1" si="193"/>
        <v>71614.385018615736</v>
      </c>
    </row>
    <row r="388" spans="2:8">
      <c r="B388" s="2" t="str">
        <f t="shared" si="162"/>
        <v>Carndo Year 4 Reduction</v>
      </c>
      <c r="D388" s="30"/>
      <c r="E388" s="30">
        <f t="shared" ref="E388:H388" ca="1" si="194">D1318</f>
        <v>0</v>
      </c>
      <c r="F388" s="30">
        <f t="shared" ca="1" si="194"/>
        <v>0</v>
      </c>
      <c r="G388" s="30">
        <f t="shared" ca="1" si="194"/>
        <v>0</v>
      </c>
      <c r="H388" s="30">
        <f t="shared" ca="1" si="194"/>
        <v>-2075565.4257440281</v>
      </c>
    </row>
    <row r="389" spans="2:8">
      <c r="B389" s="2" t="str">
        <f t="shared" si="162"/>
        <v>Carndo Year 5 Reduction</v>
      </c>
      <c r="D389" s="30"/>
      <c r="E389" s="30">
        <f t="shared" ref="E389:H389" ca="1" si="195">D1319</f>
        <v>0</v>
      </c>
      <c r="F389" s="30">
        <f t="shared" ca="1" si="195"/>
        <v>0</v>
      </c>
      <c r="G389" s="30">
        <f t="shared" ca="1" si="195"/>
        <v>0</v>
      </c>
      <c r="H389" s="30">
        <f t="shared" ca="1" si="195"/>
        <v>0</v>
      </c>
    </row>
    <row r="390" spans="2:8">
      <c r="B390" s="2" t="s">
        <v>51</v>
      </c>
      <c r="D390" s="48"/>
      <c r="E390" s="48">
        <f ca="1">SUM(E207:E389)</f>
        <v>34605094.976925425</v>
      </c>
      <c r="F390" s="48">
        <f ca="1">SUM(F207:F389)</f>
        <v>61437991.118655689</v>
      </c>
      <c r="G390" s="48">
        <f ca="1">SUM(G207:G389)</f>
        <v>85648090.961847946</v>
      </c>
      <c r="H390" s="48">
        <f ca="1">SUM(H207:H389)</f>
        <v>114255857.02566336</v>
      </c>
    </row>
    <row r="391" spans="2:8">
      <c r="D391" s="30"/>
      <c r="E391" s="30"/>
      <c r="F391" s="30"/>
      <c r="G391" s="30"/>
      <c r="H391" s="30"/>
    </row>
    <row r="392" spans="2:8" ht="15.75">
      <c r="B392" s="10" t="s">
        <v>27</v>
      </c>
      <c r="D392" s="30"/>
      <c r="E392" s="30"/>
      <c r="F392" s="30"/>
      <c r="G392" s="30"/>
      <c r="H392" s="30"/>
    </row>
    <row r="393" spans="2:8">
      <c r="B393" s="152">
        <f t="shared" ref="B393:B424" si="196">B207</f>
        <v>0</v>
      </c>
      <c r="D393" s="127">
        <v>0</v>
      </c>
      <c r="E393" s="127">
        <v>0</v>
      </c>
      <c r="F393" s="127">
        <v>0</v>
      </c>
      <c r="G393" s="127">
        <v>0</v>
      </c>
      <c r="H393" s="127">
        <v>0</v>
      </c>
    </row>
    <row r="394" spans="2:8">
      <c r="B394" s="152">
        <f t="shared" si="196"/>
        <v>0</v>
      </c>
      <c r="D394" s="127">
        <v>0</v>
      </c>
      <c r="E394" s="127">
        <v>0</v>
      </c>
      <c r="F394" s="127">
        <v>0</v>
      </c>
      <c r="G394" s="127">
        <v>0</v>
      </c>
      <c r="H394" s="127">
        <v>0</v>
      </c>
    </row>
    <row r="395" spans="2:8">
      <c r="B395" s="152">
        <f t="shared" si="196"/>
        <v>0</v>
      </c>
      <c r="D395" s="127">
        <v>0</v>
      </c>
      <c r="E395" s="127">
        <v>0</v>
      </c>
      <c r="F395" s="127">
        <v>0</v>
      </c>
      <c r="G395" s="127">
        <v>0</v>
      </c>
      <c r="H395" s="127">
        <v>0</v>
      </c>
    </row>
    <row r="396" spans="2:8">
      <c r="B396" s="152">
        <f t="shared" si="196"/>
        <v>0</v>
      </c>
      <c r="D396" s="127">
        <v>0</v>
      </c>
      <c r="E396" s="127">
        <v>0</v>
      </c>
      <c r="F396" s="127">
        <v>0</v>
      </c>
      <c r="G396" s="127">
        <v>0</v>
      </c>
      <c r="H396" s="127">
        <v>0</v>
      </c>
    </row>
    <row r="397" spans="2:8">
      <c r="B397" s="152">
        <f t="shared" si="196"/>
        <v>0</v>
      </c>
      <c r="D397" s="127">
        <v>0</v>
      </c>
      <c r="E397" s="127">
        <v>0</v>
      </c>
      <c r="F397" s="127">
        <v>0</v>
      </c>
      <c r="G397" s="127">
        <v>0</v>
      </c>
      <c r="H397" s="127">
        <v>0</v>
      </c>
    </row>
    <row r="398" spans="2:8">
      <c r="B398" s="152">
        <f t="shared" si="196"/>
        <v>0</v>
      </c>
      <c r="D398" s="127">
        <v>0</v>
      </c>
      <c r="E398" s="127">
        <v>0</v>
      </c>
      <c r="F398" s="127">
        <v>0</v>
      </c>
      <c r="G398" s="127">
        <v>0</v>
      </c>
      <c r="H398" s="127">
        <v>0</v>
      </c>
    </row>
    <row r="399" spans="2:8">
      <c r="B399" s="152">
        <f t="shared" si="196"/>
        <v>0</v>
      </c>
      <c r="D399" s="127">
        <v>0</v>
      </c>
      <c r="E399" s="127">
        <v>0</v>
      </c>
      <c r="F399" s="127">
        <v>0</v>
      </c>
      <c r="G399" s="127">
        <v>0</v>
      </c>
      <c r="H399" s="127">
        <v>0</v>
      </c>
    </row>
    <row r="400" spans="2:8">
      <c r="B400" s="152">
        <f t="shared" si="196"/>
        <v>0</v>
      </c>
      <c r="D400" s="127">
        <v>0</v>
      </c>
      <c r="E400" s="127">
        <v>0</v>
      </c>
      <c r="F400" s="127">
        <v>0</v>
      </c>
      <c r="G400" s="127">
        <v>0</v>
      </c>
      <c r="H400" s="127">
        <v>0</v>
      </c>
    </row>
    <row r="401" spans="2:8">
      <c r="B401" s="152">
        <f t="shared" si="196"/>
        <v>0</v>
      </c>
      <c r="D401" s="127">
        <v>0</v>
      </c>
      <c r="E401" s="127">
        <v>0</v>
      </c>
      <c r="F401" s="127">
        <v>0</v>
      </c>
      <c r="G401" s="127">
        <v>0</v>
      </c>
      <c r="H401" s="127">
        <v>0</v>
      </c>
    </row>
    <row r="402" spans="2:8">
      <c r="B402" s="152">
        <f t="shared" si="196"/>
        <v>0</v>
      </c>
      <c r="D402" s="127">
        <v>0</v>
      </c>
      <c r="E402" s="127">
        <v>0</v>
      </c>
      <c r="F402" s="127">
        <v>0</v>
      </c>
      <c r="G402" s="127">
        <v>0</v>
      </c>
      <c r="H402" s="127">
        <v>0</v>
      </c>
    </row>
    <row r="403" spans="2:8">
      <c r="B403" s="152">
        <f t="shared" si="196"/>
        <v>0</v>
      </c>
      <c r="D403" s="127">
        <v>0</v>
      </c>
      <c r="E403" s="127">
        <v>0</v>
      </c>
      <c r="F403" s="127">
        <v>0</v>
      </c>
      <c r="G403" s="127">
        <v>0</v>
      </c>
      <c r="H403" s="127">
        <v>0</v>
      </c>
    </row>
    <row r="404" spans="2:8">
      <c r="B404" s="152">
        <f t="shared" si="196"/>
        <v>0</v>
      </c>
      <c r="D404" s="127">
        <v>0</v>
      </c>
      <c r="E404" s="127">
        <v>0</v>
      </c>
      <c r="F404" s="127">
        <v>0</v>
      </c>
      <c r="G404" s="127">
        <v>0</v>
      </c>
      <c r="H404" s="127">
        <v>0</v>
      </c>
    </row>
    <row r="405" spans="2:8">
      <c r="B405" s="152">
        <f t="shared" si="196"/>
        <v>0</v>
      </c>
      <c r="D405" s="127">
        <v>0</v>
      </c>
      <c r="E405" s="127">
        <v>0</v>
      </c>
      <c r="F405" s="127">
        <v>0</v>
      </c>
      <c r="G405" s="127">
        <v>0</v>
      </c>
      <c r="H405" s="127">
        <v>0</v>
      </c>
    </row>
    <row r="406" spans="2:8">
      <c r="B406" s="152">
        <f t="shared" si="196"/>
        <v>0</v>
      </c>
      <c r="D406" s="127">
        <v>0</v>
      </c>
      <c r="E406" s="127">
        <v>0</v>
      </c>
      <c r="F406" s="127">
        <v>0</v>
      </c>
      <c r="G406" s="127">
        <v>0</v>
      </c>
      <c r="H406" s="127">
        <v>0</v>
      </c>
    </row>
    <row r="407" spans="2:8">
      <c r="B407" s="152">
        <f t="shared" si="196"/>
        <v>0</v>
      </c>
      <c r="D407" s="127">
        <v>0</v>
      </c>
      <c r="E407" s="127">
        <v>0</v>
      </c>
      <c r="F407" s="127">
        <v>0</v>
      </c>
      <c r="G407" s="127">
        <v>0</v>
      </c>
      <c r="H407" s="127">
        <v>0</v>
      </c>
    </row>
    <row r="408" spans="2:8">
      <c r="B408" s="152">
        <f t="shared" si="196"/>
        <v>0</v>
      </c>
      <c r="D408" s="127">
        <v>0</v>
      </c>
      <c r="E408" s="127">
        <v>0</v>
      </c>
      <c r="F408" s="127">
        <v>0</v>
      </c>
      <c r="G408" s="127">
        <v>0</v>
      </c>
      <c r="H408" s="127">
        <v>0</v>
      </c>
    </row>
    <row r="409" spans="2:8">
      <c r="B409" s="152">
        <f t="shared" si="196"/>
        <v>0</v>
      </c>
      <c r="D409" s="127">
        <v>0</v>
      </c>
      <c r="E409" s="127">
        <v>0</v>
      </c>
      <c r="F409" s="127">
        <v>0</v>
      </c>
      <c r="G409" s="127">
        <v>0</v>
      </c>
      <c r="H409" s="127">
        <v>0</v>
      </c>
    </row>
    <row r="410" spans="2:8">
      <c r="B410" s="152">
        <f t="shared" si="196"/>
        <v>0</v>
      </c>
      <c r="D410" s="127">
        <v>0</v>
      </c>
      <c r="E410" s="127">
        <v>0</v>
      </c>
      <c r="F410" s="127">
        <v>0</v>
      </c>
      <c r="G410" s="127">
        <v>0</v>
      </c>
      <c r="H410" s="127">
        <v>0</v>
      </c>
    </row>
    <row r="411" spans="2:8">
      <c r="B411" s="152">
        <f t="shared" si="196"/>
        <v>0</v>
      </c>
      <c r="D411" s="127">
        <v>0</v>
      </c>
      <c r="E411" s="127">
        <v>0</v>
      </c>
      <c r="F411" s="127">
        <v>0</v>
      </c>
      <c r="G411" s="127">
        <v>0</v>
      </c>
      <c r="H411" s="127">
        <v>0</v>
      </c>
    </row>
    <row r="412" spans="2:8">
      <c r="B412" s="152">
        <f t="shared" si="196"/>
        <v>0</v>
      </c>
      <c r="D412" s="127">
        <v>0</v>
      </c>
      <c r="E412" s="127">
        <v>0</v>
      </c>
      <c r="F412" s="127">
        <v>0</v>
      </c>
      <c r="G412" s="127">
        <v>0</v>
      </c>
      <c r="H412" s="127">
        <v>0</v>
      </c>
    </row>
    <row r="413" spans="2:8">
      <c r="B413" s="152">
        <f t="shared" si="196"/>
        <v>0</v>
      </c>
      <c r="D413" s="127">
        <v>0</v>
      </c>
      <c r="E413" s="127">
        <v>0</v>
      </c>
      <c r="F413" s="127">
        <v>0</v>
      </c>
      <c r="G413" s="127">
        <v>0</v>
      </c>
      <c r="H413" s="127">
        <v>0</v>
      </c>
    </row>
    <row r="414" spans="2:8">
      <c r="B414" s="152">
        <f t="shared" si="196"/>
        <v>0</v>
      </c>
      <c r="D414" s="127">
        <v>0</v>
      </c>
      <c r="E414" s="127">
        <v>0</v>
      </c>
      <c r="F414" s="127">
        <v>0</v>
      </c>
      <c r="G414" s="127">
        <v>0</v>
      </c>
      <c r="H414" s="127">
        <v>0</v>
      </c>
    </row>
    <row r="415" spans="2:8">
      <c r="B415" s="152">
        <f t="shared" si="196"/>
        <v>0</v>
      </c>
      <c r="D415" s="127">
        <v>0</v>
      </c>
      <c r="E415" s="127">
        <v>0</v>
      </c>
      <c r="F415" s="127">
        <v>0</v>
      </c>
      <c r="G415" s="127">
        <v>0</v>
      </c>
      <c r="H415" s="127">
        <v>0</v>
      </c>
    </row>
    <row r="416" spans="2:8">
      <c r="B416" s="152">
        <f t="shared" si="196"/>
        <v>0</v>
      </c>
      <c r="D416" s="127">
        <v>0</v>
      </c>
      <c r="E416" s="127">
        <v>0</v>
      </c>
      <c r="F416" s="127">
        <v>0</v>
      </c>
      <c r="G416" s="127">
        <v>0</v>
      </c>
      <c r="H416" s="127">
        <v>0</v>
      </c>
    </row>
    <row r="417" spans="2:8">
      <c r="B417" s="152">
        <f t="shared" si="196"/>
        <v>0</v>
      </c>
      <c r="D417" s="127">
        <v>0</v>
      </c>
      <c r="E417" s="127">
        <v>0</v>
      </c>
      <c r="F417" s="127">
        <v>0</v>
      </c>
      <c r="G417" s="127">
        <v>0</v>
      </c>
      <c r="H417" s="127">
        <v>0</v>
      </c>
    </row>
    <row r="418" spans="2:8">
      <c r="B418" s="152">
        <f t="shared" si="196"/>
        <v>0</v>
      </c>
      <c r="D418" s="127">
        <v>0</v>
      </c>
      <c r="E418" s="127">
        <v>0</v>
      </c>
      <c r="F418" s="127">
        <v>0</v>
      </c>
      <c r="G418" s="127">
        <v>0</v>
      </c>
      <c r="H418" s="127">
        <v>0</v>
      </c>
    </row>
    <row r="419" spans="2:8">
      <c r="B419" s="152">
        <f t="shared" si="196"/>
        <v>0</v>
      </c>
      <c r="D419" s="127">
        <v>0</v>
      </c>
      <c r="E419" s="127">
        <v>0</v>
      </c>
      <c r="F419" s="127">
        <v>0</v>
      </c>
      <c r="G419" s="127">
        <v>0</v>
      </c>
      <c r="H419" s="127">
        <v>0</v>
      </c>
    </row>
    <row r="420" spans="2:8">
      <c r="B420" s="152">
        <f t="shared" si="196"/>
        <v>0</v>
      </c>
      <c r="D420" s="127">
        <v>0</v>
      </c>
      <c r="E420" s="127">
        <v>0</v>
      </c>
      <c r="F420" s="127">
        <v>0</v>
      </c>
      <c r="G420" s="127">
        <v>0</v>
      </c>
      <c r="H420" s="127">
        <v>0</v>
      </c>
    </row>
    <row r="421" spans="2:8">
      <c r="B421" s="152">
        <f t="shared" si="196"/>
        <v>0</v>
      </c>
      <c r="D421" s="127">
        <v>0</v>
      </c>
      <c r="E421" s="127">
        <v>0</v>
      </c>
      <c r="F421" s="127">
        <v>0</v>
      </c>
      <c r="G421" s="127">
        <v>0</v>
      </c>
      <c r="H421" s="127">
        <v>0</v>
      </c>
    </row>
    <row r="422" spans="2:8">
      <c r="B422" s="152">
        <f t="shared" si="196"/>
        <v>0</v>
      </c>
      <c r="D422" s="127">
        <v>0</v>
      </c>
      <c r="E422" s="127">
        <v>0</v>
      </c>
      <c r="F422" s="127">
        <v>0</v>
      </c>
      <c r="G422" s="127">
        <v>0</v>
      </c>
      <c r="H422" s="127">
        <v>0</v>
      </c>
    </row>
    <row r="423" spans="2:8">
      <c r="B423" s="152">
        <f t="shared" si="196"/>
        <v>0</v>
      </c>
      <c r="D423" s="127">
        <v>0</v>
      </c>
      <c r="E423" s="127">
        <v>0</v>
      </c>
      <c r="F423" s="127">
        <v>0</v>
      </c>
      <c r="G423" s="127">
        <v>0</v>
      </c>
      <c r="H423" s="127">
        <v>0</v>
      </c>
    </row>
    <row r="424" spans="2:8">
      <c r="B424" s="152">
        <f t="shared" si="196"/>
        <v>0</v>
      </c>
      <c r="D424" s="127">
        <v>0</v>
      </c>
      <c r="E424" s="127">
        <v>0</v>
      </c>
      <c r="F424" s="127">
        <v>0</v>
      </c>
      <c r="G424" s="127">
        <v>0</v>
      </c>
      <c r="H424" s="127">
        <v>0</v>
      </c>
    </row>
    <row r="425" spans="2:8">
      <c r="B425" s="152">
        <f t="shared" ref="B425:B456" si="197">B239</f>
        <v>0</v>
      </c>
      <c r="D425" s="127">
        <v>0</v>
      </c>
      <c r="E425" s="127">
        <v>0</v>
      </c>
      <c r="F425" s="127">
        <v>0</v>
      </c>
      <c r="G425" s="127">
        <v>0</v>
      </c>
      <c r="H425" s="127">
        <v>0</v>
      </c>
    </row>
    <row r="426" spans="2:8">
      <c r="B426" s="152">
        <f t="shared" si="197"/>
        <v>0</v>
      </c>
      <c r="D426" s="127">
        <v>0</v>
      </c>
      <c r="E426" s="127">
        <v>0</v>
      </c>
      <c r="F426" s="127">
        <v>0</v>
      </c>
      <c r="G426" s="127">
        <v>0</v>
      </c>
      <c r="H426" s="127">
        <v>0</v>
      </c>
    </row>
    <row r="427" spans="2:8">
      <c r="B427" s="152">
        <f t="shared" si="197"/>
        <v>0</v>
      </c>
      <c r="D427" s="127">
        <v>0</v>
      </c>
      <c r="E427" s="127">
        <v>0</v>
      </c>
      <c r="F427" s="127">
        <v>0</v>
      </c>
      <c r="G427" s="127">
        <v>0</v>
      </c>
      <c r="H427" s="127">
        <v>0</v>
      </c>
    </row>
    <row r="428" spans="2:8">
      <c r="B428" s="152">
        <f t="shared" si="197"/>
        <v>0</v>
      </c>
      <c r="D428" s="127">
        <v>0</v>
      </c>
      <c r="E428" s="127">
        <v>0</v>
      </c>
      <c r="F428" s="127">
        <v>0</v>
      </c>
      <c r="G428" s="127">
        <v>0</v>
      </c>
      <c r="H428" s="127">
        <v>0</v>
      </c>
    </row>
    <row r="429" spans="2:8">
      <c r="B429" s="152">
        <f t="shared" si="197"/>
        <v>0</v>
      </c>
      <c r="D429" s="127">
        <v>0</v>
      </c>
      <c r="E429" s="127">
        <v>0</v>
      </c>
      <c r="F429" s="127">
        <v>0</v>
      </c>
      <c r="G429" s="127">
        <v>0</v>
      </c>
      <c r="H429" s="127">
        <v>0</v>
      </c>
    </row>
    <row r="430" spans="2:8">
      <c r="B430" s="152">
        <f t="shared" si="197"/>
        <v>0</v>
      </c>
      <c r="D430" s="127">
        <v>0</v>
      </c>
      <c r="E430" s="127">
        <v>0</v>
      </c>
      <c r="F430" s="127">
        <v>0</v>
      </c>
      <c r="G430" s="127">
        <v>0</v>
      </c>
      <c r="H430" s="127">
        <v>0</v>
      </c>
    </row>
    <row r="431" spans="2:8">
      <c r="B431" s="152">
        <f t="shared" si="197"/>
        <v>0</v>
      </c>
      <c r="D431" s="127">
        <v>0</v>
      </c>
      <c r="E431" s="127">
        <v>0</v>
      </c>
      <c r="F431" s="127">
        <v>0</v>
      </c>
      <c r="G431" s="127">
        <v>0</v>
      </c>
      <c r="H431" s="127">
        <v>0</v>
      </c>
    </row>
    <row r="432" spans="2:8">
      <c r="B432" s="152">
        <f t="shared" si="197"/>
        <v>0</v>
      </c>
      <c r="D432" s="127">
        <v>0</v>
      </c>
      <c r="E432" s="127">
        <v>0</v>
      </c>
      <c r="F432" s="127">
        <v>0</v>
      </c>
      <c r="G432" s="127">
        <v>0</v>
      </c>
      <c r="H432" s="127">
        <v>0</v>
      </c>
    </row>
    <row r="433" spans="2:8">
      <c r="B433" s="152">
        <f t="shared" si="197"/>
        <v>0</v>
      </c>
      <c r="D433" s="127">
        <v>0</v>
      </c>
      <c r="E433" s="127">
        <v>0</v>
      </c>
      <c r="F433" s="127">
        <v>0</v>
      </c>
      <c r="G433" s="127">
        <v>0</v>
      </c>
      <c r="H433" s="127">
        <v>0</v>
      </c>
    </row>
    <row r="434" spans="2:8">
      <c r="B434" s="152">
        <f t="shared" si="197"/>
        <v>0</v>
      </c>
      <c r="D434" s="127">
        <v>0</v>
      </c>
      <c r="E434" s="127">
        <v>0</v>
      </c>
      <c r="F434" s="127">
        <v>0</v>
      </c>
      <c r="G434" s="127">
        <v>0</v>
      </c>
      <c r="H434" s="127">
        <v>0</v>
      </c>
    </row>
    <row r="435" spans="2:8">
      <c r="B435" s="152">
        <f t="shared" si="197"/>
        <v>0</v>
      </c>
      <c r="D435" s="127">
        <v>0</v>
      </c>
      <c r="E435" s="127">
        <v>0</v>
      </c>
      <c r="F435" s="127">
        <v>0</v>
      </c>
      <c r="G435" s="127">
        <v>0</v>
      </c>
      <c r="H435" s="127">
        <v>0</v>
      </c>
    </row>
    <row r="436" spans="2:8">
      <c r="B436" s="152">
        <f t="shared" si="197"/>
        <v>0</v>
      </c>
      <c r="D436" s="127">
        <v>0</v>
      </c>
      <c r="E436" s="127">
        <v>0</v>
      </c>
      <c r="F436" s="127">
        <v>0</v>
      </c>
      <c r="G436" s="127">
        <v>0</v>
      </c>
      <c r="H436" s="127">
        <v>0</v>
      </c>
    </row>
    <row r="437" spans="2:8">
      <c r="B437" s="152">
        <f t="shared" si="197"/>
        <v>0</v>
      </c>
      <c r="D437" s="127">
        <v>0</v>
      </c>
      <c r="E437" s="127">
        <v>0</v>
      </c>
      <c r="F437" s="127">
        <v>0</v>
      </c>
      <c r="G437" s="127">
        <v>0</v>
      </c>
      <c r="H437" s="127">
        <v>0</v>
      </c>
    </row>
    <row r="438" spans="2:8">
      <c r="B438" s="152">
        <f t="shared" si="197"/>
        <v>0</v>
      </c>
      <c r="D438" s="127">
        <v>0</v>
      </c>
      <c r="E438" s="127">
        <v>0</v>
      </c>
      <c r="F438" s="127">
        <v>0</v>
      </c>
      <c r="G438" s="127">
        <v>0</v>
      </c>
      <c r="H438" s="127">
        <v>0</v>
      </c>
    </row>
    <row r="439" spans="2:8">
      <c r="B439" s="152">
        <f t="shared" si="197"/>
        <v>0</v>
      </c>
      <c r="D439" s="127">
        <v>0</v>
      </c>
      <c r="E439" s="127">
        <v>0</v>
      </c>
      <c r="F439" s="127">
        <v>0</v>
      </c>
      <c r="G439" s="127">
        <v>0</v>
      </c>
      <c r="H439" s="127">
        <v>0</v>
      </c>
    </row>
    <row r="440" spans="2:8">
      <c r="B440" s="152">
        <f t="shared" si="197"/>
        <v>0</v>
      </c>
      <c r="D440" s="127">
        <v>0</v>
      </c>
      <c r="E440" s="127">
        <v>0</v>
      </c>
      <c r="F440" s="127">
        <v>0</v>
      </c>
      <c r="G440" s="127">
        <v>0</v>
      </c>
      <c r="H440" s="127">
        <v>0</v>
      </c>
    </row>
    <row r="441" spans="2:8">
      <c r="B441" s="152">
        <f t="shared" si="197"/>
        <v>0</v>
      </c>
      <c r="D441" s="127">
        <v>0</v>
      </c>
      <c r="E441" s="127">
        <v>0</v>
      </c>
      <c r="F441" s="127">
        <v>0</v>
      </c>
      <c r="G441" s="127">
        <v>0</v>
      </c>
      <c r="H441" s="127">
        <v>0</v>
      </c>
    </row>
    <row r="442" spans="2:8">
      <c r="B442" s="152">
        <f t="shared" si="197"/>
        <v>0</v>
      </c>
      <c r="D442" s="127">
        <v>0</v>
      </c>
      <c r="E442" s="127">
        <v>0</v>
      </c>
      <c r="F442" s="127">
        <v>0</v>
      </c>
      <c r="G442" s="127">
        <v>0</v>
      </c>
      <c r="H442" s="127">
        <v>0</v>
      </c>
    </row>
    <row r="443" spans="2:8">
      <c r="B443" s="152">
        <f t="shared" si="197"/>
        <v>0</v>
      </c>
      <c r="D443" s="127">
        <v>0</v>
      </c>
      <c r="E443" s="127">
        <v>0</v>
      </c>
      <c r="F443" s="127">
        <v>0</v>
      </c>
      <c r="G443" s="127">
        <v>0</v>
      </c>
      <c r="H443" s="127">
        <v>0</v>
      </c>
    </row>
    <row r="444" spans="2:8">
      <c r="B444" s="152">
        <f t="shared" si="197"/>
        <v>0</v>
      </c>
      <c r="D444" s="127">
        <v>0</v>
      </c>
      <c r="E444" s="127">
        <v>0</v>
      </c>
      <c r="F444" s="127">
        <v>0</v>
      </c>
      <c r="G444" s="127">
        <v>0</v>
      </c>
      <c r="H444" s="127">
        <v>0</v>
      </c>
    </row>
    <row r="445" spans="2:8">
      <c r="B445" s="152">
        <f t="shared" si="197"/>
        <v>0</v>
      </c>
      <c r="D445" s="127">
        <v>0</v>
      </c>
      <c r="E445" s="127">
        <v>0</v>
      </c>
      <c r="F445" s="127">
        <v>0</v>
      </c>
      <c r="G445" s="127">
        <v>0</v>
      </c>
      <c r="H445" s="127">
        <v>0</v>
      </c>
    </row>
    <row r="446" spans="2:8">
      <c r="B446" s="152">
        <f t="shared" si="197"/>
        <v>0</v>
      </c>
      <c r="D446" s="127">
        <v>0</v>
      </c>
      <c r="E446" s="127">
        <v>0</v>
      </c>
      <c r="F446" s="127">
        <v>0</v>
      </c>
      <c r="G446" s="127">
        <v>0</v>
      </c>
      <c r="H446" s="127">
        <v>0</v>
      </c>
    </row>
    <row r="447" spans="2:8">
      <c r="B447" s="152">
        <f t="shared" si="197"/>
        <v>0</v>
      </c>
      <c r="D447" s="127">
        <v>0</v>
      </c>
      <c r="E447" s="127">
        <v>0</v>
      </c>
      <c r="F447" s="127">
        <v>0</v>
      </c>
      <c r="G447" s="127">
        <v>0</v>
      </c>
      <c r="H447" s="127">
        <v>0</v>
      </c>
    </row>
    <row r="448" spans="2:8">
      <c r="B448" s="152">
        <f t="shared" si="197"/>
        <v>0</v>
      </c>
      <c r="D448" s="127">
        <v>0</v>
      </c>
      <c r="E448" s="127">
        <v>0</v>
      </c>
      <c r="F448" s="127">
        <v>0</v>
      </c>
      <c r="G448" s="127">
        <v>0</v>
      </c>
      <c r="H448" s="127">
        <v>0</v>
      </c>
    </row>
    <row r="449" spans="2:8">
      <c r="B449" s="152">
        <f t="shared" si="197"/>
        <v>0</v>
      </c>
      <c r="D449" s="127">
        <v>0</v>
      </c>
      <c r="E449" s="127">
        <v>0</v>
      </c>
      <c r="F449" s="127">
        <v>0</v>
      </c>
      <c r="G449" s="127">
        <v>0</v>
      </c>
      <c r="H449" s="127">
        <v>0</v>
      </c>
    </row>
    <row r="450" spans="2:8">
      <c r="B450" s="152">
        <f t="shared" si="197"/>
        <v>0</v>
      </c>
      <c r="D450" s="127">
        <v>0</v>
      </c>
      <c r="E450" s="127">
        <v>0</v>
      </c>
      <c r="F450" s="127">
        <v>0</v>
      </c>
      <c r="G450" s="127">
        <v>0</v>
      </c>
      <c r="H450" s="127">
        <v>0</v>
      </c>
    </row>
    <row r="451" spans="2:8">
      <c r="B451" s="152">
        <f t="shared" si="197"/>
        <v>0</v>
      </c>
      <c r="D451" s="127">
        <v>0</v>
      </c>
      <c r="E451" s="127">
        <v>0</v>
      </c>
      <c r="F451" s="127">
        <v>0</v>
      </c>
      <c r="G451" s="127">
        <v>0</v>
      </c>
      <c r="H451" s="127">
        <v>0</v>
      </c>
    </row>
    <row r="452" spans="2:8">
      <c r="B452" s="152">
        <f t="shared" si="197"/>
        <v>0</v>
      </c>
      <c r="D452" s="127">
        <v>0</v>
      </c>
      <c r="E452" s="127">
        <v>0</v>
      </c>
      <c r="F452" s="127">
        <v>0</v>
      </c>
      <c r="G452" s="127">
        <v>0</v>
      </c>
      <c r="H452" s="127">
        <v>0</v>
      </c>
    </row>
    <row r="453" spans="2:8">
      <c r="B453" s="152">
        <f t="shared" si="197"/>
        <v>0</v>
      </c>
      <c r="D453" s="127">
        <v>0</v>
      </c>
      <c r="E453" s="127">
        <v>0</v>
      </c>
      <c r="F453" s="127">
        <v>0</v>
      </c>
      <c r="G453" s="127">
        <v>0</v>
      </c>
      <c r="H453" s="127">
        <v>0</v>
      </c>
    </row>
    <row r="454" spans="2:8">
      <c r="B454" s="152">
        <f t="shared" si="197"/>
        <v>0</v>
      </c>
      <c r="D454" s="127">
        <v>0</v>
      </c>
      <c r="E454" s="127">
        <v>0</v>
      </c>
      <c r="F454" s="127">
        <v>0</v>
      </c>
      <c r="G454" s="127">
        <v>0</v>
      </c>
      <c r="H454" s="127">
        <v>0</v>
      </c>
    </row>
    <row r="455" spans="2:8">
      <c r="B455" s="152">
        <f t="shared" si="197"/>
        <v>0</v>
      </c>
      <c r="D455" s="127">
        <v>0</v>
      </c>
      <c r="E455" s="127">
        <v>0</v>
      </c>
      <c r="F455" s="127">
        <v>0</v>
      </c>
      <c r="G455" s="127">
        <v>0</v>
      </c>
      <c r="H455" s="127">
        <v>0</v>
      </c>
    </row>
    <row r="456" spans="2:8">
      <c r="B456" s="152">
        <f t="shared" si="197"/>
        <v>0</v>
      </c>
      <c r="D456" s="127">
        <v>0</v>
      </c>
      <c r="E456" s="127">
        <v>0</v>
      </c>
      <c r="F456" s="127">
        <v>0</v>
      </c>
      <c r="G456" s="127">
        <v>0</v>
      </c>
      <c r="H456" s="127">
        <v>0</v>
      </c>
    </row>
    <row r="457" spans="2:8">
      <c r="B457" s="152">
        <f t="shared" ref="B457:B488" si="198">B271</f>
        <v>0</v>
      </c>
      <c r="D457" s="127">
        <v>0</v>
      </c>
      <c r="E457" s="127">
        <v>0</v>
      </c>
      <c r="F457" s="127">
        <v>0</v>
      </c>
      <c r="G457" s="127">
        <v>0</v>
      </c>
      <c r="H457" s="127">
        <v>0</v>
      </c>
    </row>
    <row r="458" spans="2:8">
      <c r="B458" s="152">
        <f t="shared" si="198"/>
        <v>0</v>
      </c>
      <c r="D458" s="127">
        <v>0</v>
      </c>
      <c r="E458" s="127">
        <v>0</v>
      </c>
      <c r="F458" s="127">
        <v>0</v>
      </c>
      <c r="G458" s="127">
        <v>0</v>
      </c>
      <c r="H458" s="127">
        <v>0</v>
      </c>
    </row>
    <row r="459" spans="2:8">
      <c r="B459" s="152">
        <f t="shared" si="198"/>
        <v>0</v>
      </c>
      <c r="D459" s="127">
        <v>0</v>
      </c>
      <c r="E459" s="127">
        <v>0</v>
      </c>
      <c r="F459" s="127">
        <v>0</v>
      </c>
      <c r="G459" s="127">
        <v>0</v>
      </c>
      <c r="H459" s="127">
        <v>0</v>
      </c>
    </row>
    <row r="460" spans="2:8">
      <c r="B460" s="152">
        <f t="shared" si="198"/>
        <v>0</v>
      </c>
      <c r="D460" s="127">
        <v>0</v>
      </c>
      <c r="E460" s="127">
        <v>0</v>
      </c>
      <c r="F460" s="127">
        <v>0</v>
      </c>
      <c r="G460" s="127">
        <v>0</v>
      </c>
      <c r="H460" s="127">
        <v>0</v>
      </c>
    </row>
    <row r="461" spans="2:8">
      <c r="B461" s="152">
        <f t="shared" si="198"/>
        <v>0</v>
      </c>
      <c r="D461" s="127">
        <v>0</v>
      </c>
      <c r="E461" s="127">
        <v>0</v>
      </c>
      <c r="F461" s="127">
        <v>0</v>
      </c>
      <c r="G461" s="127">
        <v>0</v>
      </c>
      <c r="H461" s="127">
        <v>0</v>
      </c>
    </row>
    <row r="462" spans="2:8">
      <c r="B462" s="152">
        <f t="shared" si="198"/>
        <v>0</v>
      </c>
      <c r="D462" s="127">
        <v>0</v>
      </c>
      <c r="E462" s="127">
        <v>0</v>
      </c>
      <c r="F462" s="127">
        <v>0</v>
      </c>
      <c r="G462" s="127">
        <v>0</v>
      </c>
      <c r="H462" s="127">
        <v>0</v>
      </c>
    </row>
    <row r="463" spans="2:8">
      <c r="B463" s="152">
        <f t="shared" si="198"/>
        <v>0</v>
      </c>
      <c r="D463" s="127">
        <v>0</v>
      </c>
      <c r="E463" s="127">
        <v>0</v>
      </c>
      <c r="F463" s="127">
        <v>0</v>
      </c>
      <c r="G463" s="127">
        <v>0</v>
      </c>
      <c r="H463" s="127">
        <v>0</v>
      </c>
    </row>
    <row r="464" spans="2:8">
      <c r="B464" s="152">
        <f t="shared" si="198"/>
        <v>0</v>
      </c>
      <c r="D464" s="127">
        <v>0</v>
      </c>
      <c r="E464" s="127">
        <v>0</v>
      </c>
      <c r="F464" s="127">
        <v>0</v>
      </c>
      <c r="G464" s="127">
        <v>0</v>
      </c>
      <c r="H464" s="127">
        <v>0</v>
      </c>
    </row>
    <row r="465" spans="2:8">
      <c r="B465" s="152">
        <f t="shared" si="198"/>
        <v>0</v>
      </c>
      <c r="D465" s="127">
        <v>0</v>
      </c>
      <c r="E465" s="127">
        <v>0</v>
      </c>
      <c r="F465" s="127">
        <v>0</v>
      </c>
      <c r="G465" s="127">
        <v>0</v>
      </c>
      <c r="H465" s="127">
        <v>0</v>
      </c>
    </row>
    <row r="466" spans="2:8">
      <c r="B466" s="152">
        <f t="shared" si="198"/>
        <v>0</v>
      </c>
      <c r="D466" s="127">
        <v>0</v>
      </c>
      <c r="E466" s="127">
        <v>0</v>
      </c>
      <c r="F466" s="127">
        <v>0</v>
      </c>
      <c r="G466" s="127">
        <v>0</v>
      </c>
      <c r="H466" s="127">
        <v>0</v>
      </c>
    </row>
    <row r="467" spans="2:8">
      <c r="B467" s="152">
        <f t="shared" si="198"/>
        <v>0</v>
      </c>
      <c r="D467" s="127">
        <v>0</v>
      </c>
      <c r="E467" s="127">
        <v>0</v>
      </c>
      <c r="F467" s="127">
        <v>0</v>
      </c>
      <c r="G467" s="127">
        <v>0</v>
      </c>
      <c r="H467" s="127">
        <v>0</v>
      </c>
    </row>
    <row r="468" spans="2:8">
      <c r="B468" s="152">
        <f t="shared" si="198"/>
        <v>0</v>
      </c>
      <c r="D468" s="127">
        <v>0</v>
      </c>
      <c r="E468" s="127">
        <v>0</v>
      </c>
      <c r="F468" s="127">
        <v>0</v>
      </c>
      <c r="G468" s="127">
        <v>0</v>
      </c>
      <c r="H468" s="127">
        <v>0</v>
      </c>
    </row>
    <row r="469" spans="2:8">
      <c r="B469" s="152">
        <f t="shared" si="198"/>
        <v>0</v>
      </c>
      <c r="D469" s="127">
        <v>0</v>
      </c>
      <c r="E469" s="127">
        <v>0</v>
      </c>
      <c r="F469" s="127">
        <v>0</v>
      </c>
      <c r="G469" s="127">
        <v>0</v>
      </c>
      <c r="H469" s="127">
        <v>0</v>
      </c>
    </row>
    <row r="470" spans="2:8">
      <c r="B470" s="152">
        <f t="shared" si="198"/>
        <v>0</v>
      </c>
      <c r="D470" s="127">
        <v>0</v>
      </c>
      <c r="E470" s="127">
        <v>0</v>
      </c>
      <c r="F470" s="127">
        <v>0</v>
      </c>
      <c r="G470" s="127">
        <v>0</v>
      </c>
      <c r="H470" s="127">
        <v>0</v>
      </c>
    </row>
    <row r="471" spans="2:8">
      <c r="B471" s="152">
        <f t="shared" si="198"/>
        <v>0</v>
      </c>
      <c r="D471" s="127">
        <v>0</v>
      </c>
      <c r="E471" s="127">
        <v>0</v>
      </c>
      <c r="F471" s="127">
        <v>0</v>
      </c>
      <c r="G471" s="127">
        <v>0</v>
      </c>
      <c r="H471" s="127">
        <v>0</v>
      </c>
    </row>
    <row r="472" spans="2:8">
      <c r="B472" s="152">
        <f t="shared" si="198"/>
        <v>0</v>
      </c>
      <c r="D472" s="127">
        <v>0</v>
      </c>
      <c r="E472" s="127">
        <v>0</v>
      </c>
      <c r="F472" s="127">
        <v>0</v>
      </c>
      <c r="G472" s="127">
        <v>0</v>
      </c>
      <c r="H472" s="127">
        <v>0</v>
      </c>
    </row>
    <row r="473" spans="2:8">
      <c r="B473" s="152">
        <f t="shared" si="198"/>
        <v>0</v>
      </c>
      <c r="D473" s="127">
        <v>0</v>
      </c>
      <c r="E473" s="127">
        <v>0</v>
      </c>
      <c r="F473" s="127">
        <v>0</v>
      </c>
      <c r="G473" s="127">
        <v>0</v>
      </c>
      <c r="H473" s="127">
        <v>0</v>
      </c>
    </row>
    <row r="474" spans="2:8">
      <c r="B474" s="152">
        <f t="shared" si="198"/>
        <v>0</v>
      </c>
      <c r="D474" s="127">
        <v>0</v>
      </c>
      <c r="E474" s="127">
        <v>0</v>
      </c>
      <c r="F474" s="127">
        <v>0</v>
      </c>
      <c r="G474" s="127">
        <v>0</v>
      </c>
      <c r="H474" s="127">
        <v>0</v>
      </c>
    </row>
    <row r="475" spans="2:8">
      <c r="B475" s="152">
        <f t="shared" si="198"/>
        <v>0</v>
      </c>
      <c r="D475" s="127">
        <v>0</v>
      </c>
      <c r="E475" s="127">
        <v>0</v>
      </c>
      <c r="F475" s="127">
        <v>0</v>
      </c>
      <c r="G475" s="127">
        <v>0</v>
      </c>
      <c r="H475" s="127">
        <v>0</v>
      </c>
    </row>
    <row r="476" spans="2:8">
      <c r="B476" s="152">
        <f t="shared" si="198"/>
        <v>0</v>
      </c>
      <c r="D476" s="127">
        <v>0</v>
      </c>
      <c r="E476" s="127">
        <v>0</v>
      </c>
      <c r="F476" s="127">
        <v>0</v>
      </c>
      <c r="G476" s="127">
        <v>0</v>
      </c>
      <c r="H476" s="127">
        <v>0</v>
      </c>
    </row>
    <row r="477" spans="2:8">
      <c r="B477" s="152">
        <f t="shared" si="198"/>
        <v>0</v>
      </c>
      <c r="D477" s="127">
        <v>0</v>
      </c>
      <c r="E477" s="127">
        <v>0</v>
      </c>
      <c r="F477" s="127">
        <v>0</v>
      </c>
      <c r="G477" s="127">
        <v>0</v>
      </c>
      <c r="H477" s="127">
        <v>0</v>
      </c>
    </row>
    <row r="478" spans="2:8">
      <c r="B478" s="152">
        <f t="shared" si="198"/>
        <v>0</v>
      </c>
      <c r="D478" s="127">
        <v>0</v>
      </c>
      <c r="E478" s="127">
        <v>0</v>
      </c>
      <c r="F478" s="127">
        <v>0</v>
      </c>
      <c r="G478" s="127">
        <v>0</v>
      </c>
      <c r="H478" s="127">
        <v>0</v>
      </c>
    </row>
    <row r="479" spans="2:8">
      <c r="B479" s="152">
        <f t="shared" si="198"/>
        <v>0</v>
      </c>
      <c r="D479" s="127">
        <v>0</v>
      </c>
      <c r="E479" s="127">
        <v>0</v>
      </c>
      <c r="F479" s="127">
        <v>0</v>
      </c>
      <c r="G479" s="127">
        <v>0</v>
      </c>
      <c r="H479" s="127">
        <v>0</v>
      </c>
    </row>
    <row r="480" spans="2:8">
      <c r="B480" s="152">
        <f t="shared" si="198"/>
        <v>0</v>
      </c>
      <c r="D480" s="127">
        <v>0</v>
      </c>
      <c r="E480" s="127">
        <v>0</v>
      </c>
      <c r="F480" s="127">
        <v>0</v>
      </c>
      <c r="G480" s="127">
        <v>0</v>
      </c>
      <c r="H480" s="127">
        <v>0</v>
      </c>
    </row>
    <row r="481" spans="2:8">
      <c r="B481" s="152">
        <f t="shared" si="198"/>
        <v>0</v>
      </c>
      <c r="D481" s="127">
        <v>0</v>
      </c>
      <c r="E481" s="127">
        <v>0</v>
      </c>
      <c r="F481" s="127">
        <v>0</v>
      </c>
      <c r="G481" s="127">
        <v>0</v>
      </c>
      <c r="H481" s="127">
        <v>0</v>
      </c>
    </row>
    <row r="482" spans="2:8">
      <c r="B482" s="152">
        <f t="shared" si="198"/>
        <v>0</v>
      </c>
      <c r="D482" s="127">
        <v>0</v>
      </c>
      <c r="E482" s="127">
        <v>0</v>
      </c>
      <c r="F482" s="127">
        <v>0</v>
      </c>
      <c r="G482" s="127">
        <v>0</v>
      </c>
      <c r="H482" s="127">
        <v>0</v>
      </c>
    </row>
    <row r="483" spans="2:8">
      <c r="B483" s="152">
        <f t="shared" si="198"/>
        <v>0</v>
      </c>
      <c r="D483" s="127">
        <v>0</v>
      </c>
      <c r="E483" s="127">
        <v>0</v>
      </c>
      <c r="F483" s="127">
        <v>0</v>
      </c>
      <c r="G483" s="127">
        <v>0</v>
      </c>
      <c r="H483" s="127">
        <v>0</v>
      </c>
    </row>
    <row r="484" spans="2:8">
      <c r="B484" s="152">
        <f t="shared" si="198"/>
        <v>0</v>
      </c>
      <c r="D484" s="127">
        <v>0</v>
      </c>
      <c r="E484" s="127">
        <v>0</v>
      </c>
      <c r="F484" s="127">
        <v>0</v>
      </c>
      <c r="G484" s="127">
        <v>0</v>
      </c>
      <c r="H484" s="127">
        <v>0</v>
      </c>
    </row>
    <row r="485" spans="2:8">
      <c r="B485" s="152">
        <f t="shared" si="198"/>
        <v>0</v>
      </c>
      <c r="D485" s="127">
        <v>0</v>
      </c>
      <c r="E485" s="127">
        <v>0</v>
      </c>
      <c r="F485" s="127">
        <v>0</v>
      </c>
      <c r="G485" s="127">
        <v>0</v>
      </c>
      <c r="H485" s="127">
        <v>0</v>
      </c>
    </row>
    <row r="486" spans="2:8">
      <c r="B486" s="152">
        <f t="shared" si="198"/>
        <v>0</v>
      </c>
      <c r="D486" s="127">
        <v>0</v>
      </c>
      <c r="E486" s="127">
        <v>0</v>
      </c>
      <c r="F486" s="127">
        <v>0</v>
      </c>
      <c r="G486" s="127">
        <v>0</v>
      </c>
      <c r="H486" s="127">
        <v>0</v>
      </c>
    </row>
    <row r="487" spans="2:8">
      <c r="B487" s="152">
        <f t="shared" si="198"/>
        <v>0</v>
      </c>
      <c r="D487" s="127">
        <v>0</v>
      </c>
      <c r="E487" s="127">
        <v>0</v>
      </c>
      <c r="F487" s="127">
        <v>0</v>
      </c>
      <c r="G487" s="127">
        <v>0</v>
      </c>
      <c r="H487" s="127">
        <v>0</v>
      </c>
    </row>
    <row r="488" spans="2:8">
      <c r="B488" s="152">
        <f t="shared" si="198"/>
        <v>0</v>
      </c>
      <c r="D488" s="127">
        <v>0</v>
      </c>
      <c r="E488" s="127">
        <v>0</v>
      </c>
      <c r="F488" s="127">
        <v>0</v>
      </c>
      <c r="G488" s="127">
        <v>0</v>
      </c>
      <c r="H488" s="127">
        <v>0</v>
      </c>
    </row>
    <row r="489" spans="2:8">
      <c r="B489" s="152">
        <f t="shared" ref="B489:B520" si="199">B303</f>
        <v>0</v>
      </c>
      <c r="D489" s="127">
        <v>0</v>
      </c>
      <c r="E489" s="127">
        <v>0</v>
      </c>
      <c r="F489" s="127">
        <v>0</v>
      </c>
      <c r="G489" s="127">
        <v>0</v>
      </c>
      <c r="H489" s="127">
        <v>0</v>
      </c>
    </row>
    <row r="490" spans="2:8">
      <c r="B490" s="152">
        <f t="shared" si="199"/>
        <v>0</v>
      </c>
      <c r="D490" s="127">
        <v>0</v>
      </c>
      <c r="E490" s="127">
        <v>0</v>
      </c>
      <c r="F490" s="127">
        <v>0</v>
      </c>
      <c r="G490" s="127">
        <v>0</v>
      </c>
      <c r="H490" s="127">
        <v>0</v>
      </c>
    </row>
    <row r="491" spans="2:8">
      <c r="B491" s="152">
        <f t="shared" si="199"/>
        <v>0</v>
      </c>
      <c r="D491" s="127">
        <v>0</v>
      </c>
      <c r="E491" s="127">
        <v>0</v>
      </c>
      <c r="F491" s="127">
        <v>0</v>
      </c>
      <c r="G491" s="127">
        <v>0</v>
      </c>
      <c r="H491" s="127">
        <v>0</v>
      </c>
    </row>
    <row r="492" spans="2:8">
      <c r="B492" s="152">
        <f t="shared" si="199"/>
        <v>0</v>
      </c>
      <c r="D492" s="127">
        <v>0</v>
      </c>
      <c r="E492" s="127">
        <v>0</v>
      </c>
      <c r="F492" s="127">
        <v>0</v>
      </c>
      <c r="G492" s="127">
        <v>0</v>
      </c>
      <c r="H492" s="127">
        <v>0</v>
      </c>
    </row>
    <row r="493" spans="2:8">
      <c r="B493" s="152">
        <f t="shared" si="199"/>
        <v>0</v>
      </c>
      <c r="D493" s="127">
        <v>0</v>
      </c>
      <c r="E493" s="127">
        <v>0</v>
      </c>
      <c r="F493" s="127">
        <v>0</v>
      </c>
      <c r="G493" s="127">
        <v>0</v>
      </c>
      <c r="H493" s="127">
        <v>0</v>
      </c>
    </row>
    <row r="494" spans="2:8">
      <c r="B494" s="152">
        <f t="shared" si="199"/>
        <v>0</v>
      </c>
      <c r="D494" s="127">
        <v>0</v>
      </c>
      <c r="E494" s="127">
        <v>0</v>
      </c>
      <c r="F494" s="127">
        <v>0</v>
      </c>
      <c r="G494" s="127">
        <v>0</v>
      </c>
      <c r="H494" s="127">
        <v>0</v>
      </c>
    </row>
    <row r="495" spans="2:8">
      <c r="B495" s="152">
        <f t="shared" si="199"/>
        <v>0</v>
      </c>
      <c r="D495" s="127">
        <v>0</v>
      </c>
      <c r="E495" s="127">
        <v>0</v>
      </c>
      <c r="F495" s="127">
        <v>0</v>
      </c>
      <c r="G495" s="127">
        <v>0</v>
      </c>
      <c r="H495" s="127">
        <v>0</v>
      </c>
    </row>
    <row r="496" spans="2:8">
      <c r="B496" s="152">
        <f t="shared" si="199"/>
        <v>0</v>
      </c>
      <c r="D496" s="127">
        <v>0</v>
      </c>
      <c r="E496" s="127">
        <v>0</v>
      </c>
      <c r="F496" s="127">
        <v>0</v>
      </c>
      <c r="G496" s="127">
        <v>0</v>
      </c>
      <c r="H496" s="127">
        <v>0</v>
      </c>
    </row>
    <row r="497" spans="2:8">
      <c r="B497" s="152">
        <f t="shared" si="199"/>
        <v>0</v>
      </c>
      <c r="D497" s="127">
        <v>0</v>
      </c>
      <c r="E497" s="127">
        <v>0</v>
      </c>
      <c r="F497" s="127">
        <v>0</v>
      </c>
      <c r="G497" s="127">
        <v>0</v>
      </c>
      <c r="H497" s="127">
        <v>0</v>
      </c>
    </row>
    <row r="498" spans="2:8">
      <c r="B498" s="152">
        <f t="shared" si="199"/>
        <v>0</v>
      </c>
      <c r="D498" s="127">
        <v>0</v>
      </c>
      <c r="E498" s="127">
        <v>0</v>
      </c>
      <c r="F498" s="127">
        <v>0</v>
      </c>
      <c r="G498" s="127">
        <v>0</v>
      </c>
      <c r="H498" s="127">
        <v>0</v>
      </c>
    </row>
    <row r="499" spans="2:8">
      <c r="B499" s="152">
        <f t="shared" si="199"/>
        <v>0</v>
      </c>
      <c r="D499" s="127">
        <v>0</v>
      </c>
      <c r="E499" s="127">
        <v>0</v>
      </c>
      <c r="F499" s="127">
        <v>0</v>
      </c>
      <c r="G499" s="127">
        <v>0</v>
      </c>
      <c r="H499" s="127">
        <v>0</v>
      </c>
    </row>
    <row r="500" spans="2:8">
      <c r="B500" s="152">
        <f t="shared" si="199"/>
        <v>0</v>
      </c>
      <c r="D500" s="127">
        <v>0</v>
      </c>
      <c r="E500" s="127">
        <v>0</v>
      </c>
      <c r="F500" s="127">
        <v>0</v>
      </c>
      <c r="G500" s="127">
        <v>0</v>
      </c>
      <c r="H500" s="127">
        <v>0</v>
      </c>
    </row>
    <row r="501" spans="2:8">
      <c r="B501" s="152">
        <f t="shared" si="199"/>
        <v>0</v>
      </c>
      <c r="D501" s="127">
        <v>0</v>
      </c>
      <c r="E501" s="127">
        <v>0</v>
      </c>
      <c r="F501" s="127">
        <v>0</v>
      </c>
      <c r="G501" s="127">
        <v>0</v>
      </c>
      <c r="H501" s="127">
        <v>0</v>
      </c>
    </row>
    <row r="502" spans="2:8">
      <c r="B502" s="152">
        <f t="shared" si="199"/>
        <v>0</v>
      </c>
      <c r="D502" s="127">
        <v>0</v>
      </c>
      <c r="E502" s="127">
        <v>0</v>
      </c>
      <c r="F502" s="127">
        <v>0</v>
      </c>
      <c r="G502" s="127">
        <v>0</v>
      </c>
      <c r="H502" s="127">
        <v>0</v>
      </c>
    </row>
    <row r="503" spans="2:8">
      <c r="B503" s="152">
        <f t="shared" si="199"/>
        <v>0</v>
      </c>
      <c r="D503" s="127">
        <v>0</v>
      </c>
      <c r="E503" s="127">
        <v>0</v>
      </c>
      <c r="F503" s="127">
        <v>0</v>
      </c>
      <c r="G503" s="127">
        <v>0</v>
      </c>
      <c r="H503" s="127">
        <v>0</v>
      </c>
    </row>
    <row r="504" spans="2:8">
      <c r="B504" s="152">
        <f t="shared" si="199"/>
        <v>0</v>
      </c>
      <c r="D504" s="127">
        <v>0</v>
      </c>
      <c r="E504" s="127">
        <v>0</v>
      </c>
      <c r="F504" s="127">
        <v>0</v>
      </c>
      <c r="G504" s="127">
        <v>0</v>
      </c>
      <c r="H504" s="127">
        <v>0</v>
      </c>
    </row>
    <row r="505" spans="2:8">
      <c r="B505" s="152">
        <f t="shared" si="199"/>
        <v>0</v>
      </c>
      <c r="D505" s="127">
        <v>0</v>
      </c>
      <c r="E505" s="127">
        <v>0</v>
      </c>
      <c r="F505" s="127">
        <v>0</v>
      </c>
      <c r="G505" s="127">
        <v>0</v>
      </c>
      <c r="H505" s="127">
        <v>0</v>
      </c>
    </row>
    <row r="506" spans="2:8">
      <c r="B506" s="152">
        <f t="shared" si="199"/>
        <v>0</v>
      </c>
      <c r="D506" s="127">
        <v>0</v>
      </c>
      <c r="E506" s="127">
        <v>0</v>
      </c>
      <c r="F506" s="127">
        <v>0</v>
      </c>
      <c r="G506" s="127">
        <v>0</v>
      </c>
      <c r="H506" s="127">
        <v>0</v>
      </c>
    </row>
    <row r="507" spans="2:8">
      <c r="B507" s="152">
        <f t="shared" si="199"/>
        <v>0</v>
      </c>
      <c r="D507" s="127">
        <v>0</v>
      </c>
      <c r="E507" s="127">
        <v>0</v>
      </c>
      <c r="F507" s="127">
        <v>0</v>
      </c>
      <c r="G507" s="127">
        <v>0</v>
      </c>
      <c r="H507" s="127">
        <v>0</v>
      </c>
    </row>
    <row r="508" spans="2:8">
      <c r="B508" s="152">
        <f t="shared" si="199"/>
        <v>0</v>
      </c>
      <c r="D508" s="127">
        <v>0</v>
      </c>
      <c r="E508" s="127">
        <v>0</v>
      </c>
      <c r="F508" s="127">
        <v>0</v>
      </c>
      <c r="G508" s="127">
        <v>0</v>
      </c>
      <c r="H508" s="127">
        <v>0</v>
      </c>
    </row>
    <row r="509" spans="2:8">
      <c r="B509" s="152">
        <f t="shared" si="199"/>
        <v>0</v>
      </c>
      <c r="D509" s="127">
        <v>0</v>
      </c>
      <c r="E509" s="127">
        <v>0</v>
      </c>
      <c r="F509" s="127">
        <v>0</v>
      </c>
      <c r="G509" s="127">
        <v>0</v>
      </c>
      <c r="H509" s="127">
        <v>0</v>
      </c>
    </row>
    <row r="510" spans="2:8">
      <c r="B510" s="152">
        <f t="shared" si="199"/>
        <v>0</v>
      </c>
      <c r="D510" s="127">
        <v>0</v>
      </c>
      <c r="E510" s="127">
        <v>0</v>
      </c>
      <c r="F510" s="127">
        <v>0</v>
      </c>
      <c r="G510" s="127">
        <v>0</v>
      </c>
      <c r="H510" s="127">
        <v>0</v>
      </c>
    </row>
    <row r="511" spans="2:8">
      <c r="B511" s="152">
        <f t="shared" si="199"/>
        <v>0</v>
      </c>
      <c r="D511" s="127">
        <v>0</v>
      </c>
      <c r="E511" s="127">
        <v>0</v>
      </c>
      <c r="F511" s="127">
        <v>0</v>
      </c>
      <c r="G511" s="127">
        <v>0</v>
      </c>
      <c r="H511" s="127">
        <v>0</v>
      </c>
    </row>
    <row r="512" spans="2:8">
      <c r="B512" s="152">
        <f t="shared" si="199"/>
        <v>0</v>
      </c>
      <c r="D512" s="127">
        <v>0</v>
      </c>
      <c r="E512" s="127">
        <v>0</v>
      </c>
      <c r="F512" s="127">
        <v>0</v>
      </c>
      <c r="G512" s="127">
        <v>0</v>
      </c>
      <c r="H512" s="127">
        <v>0</v>
      </c>
    </row>
    <row r="513" spans="2:8">
      <c r="B513" s="152">
        <f t="shared" si="199"/>
        <v>0</v>
      </c>
      <c r="D513" s="127">
        <v>0</v>
      </c>
      <c r="E513" s="127">
        <v>0</v>
      </c>
      <c r="F513" s="127">
        <v>0</v>
      </c>
      <c r="G513" s="127">
        <v>0</v>
      </c>
      <c r="H513" s="127">
        <v>0</v>
      </c>
    </row>
    <row r="514" spans="2:8">
      <c r="B514" s="152">
        <f t="shared" si="199"/>
        <v>0</v>
      </c>
      <c r="D514" s="127">
        <v>0</v>
      </c>
      <c r="E514" s="127">
        <v>0</v>
      </c>
      <c r="F514" s="127">
        <v>0</v>
      </c>
      <c r="G514" s="127">
        <v>0</v>
      </c>
      <c r="H514" s="127">
        <v>0</v>
      </c>
    </row>
    <row r="515" spans="2:8">
      <c r="B515" s="152">
        <f t="shared" si="199"/>
        <v>0</v>
      </c>
      <c r="D515" s="127">
        <v>0</v>
      </c>
      <c r="E515" s="127">
        <v>0</v>
      </c>
      <c r="F515" s="127">
        <v>0</v>
      </c>
      <c r="G515" s="127">
        <v>0</v>
      </c>
      <c r="H515" s="127">
        <v>0</v>
      </c>
    </row>
    <row r="516" spans="2:8">
      <c r="B516" s="152">
        <f t="shared" si="199"/>
        <v>0</v>
      </c>
      <c r="D516" s="127">
        <v>0</v>
      </c>
      <c r="E516" s="127">
        <v>0</v>
      </c>
      <c r="F516" s="127">
        <v>0</v>
      </c>
      <c r="G516" s="127">
        <v>0</v>
      </c>
      <c r="H516" s="127">
        <v>0</v>
      </c>
    </row>
    <row r="517" spans="2:8">
      <c r="B517" s="152">
        <f t="shared" si="199"/>
        <v>0</v>
      </c>
      <c r="D517" s="127">
        <v>0</v>
      </c>
      <c r="E517" s="127">
        <v>0</v>
      </c>
      <c r="F517" s="127">
        <v>0</v>
      </c>
      <c r="G517" s="127">
        <v>0</v>
      </c>
      <c r="H517" s="127">
        <v>0</v>
      </c>
    </row>
    <row r="518" spans="2:8">
      <c r="B518" s="152">
        <f t="shared" si="199"/>
        <v>0</v>
      </c>
      <c r="D518" s="127">
        <v>0</v>
      </c>
      <c r="E518" s="127">
        <v>0</v>
      </c>
      <c r="F518" s="127">
        <v>0</v>
      </c>
      <c r="G518" s="127">
        <v>0</v>
      </c>
      <c r="H518" s="127">
        <v>0</v>
      </c>
    </row>
    <row r="519" spans="2:8">
      <c r="B519" s="152">
        <f t="shared" si="199"/>
        <v>0</v>
      </c>
      <c r="D519" s="127">
        <v>0</v>
      </c>
      <c r="E519" s="127">
        <v>0</v>
      </c>
      <c r="F519" s="127">
        <v>0</v>
      </c>
      <c r="G519" s="127">
        <v>0</v>
      </c>
      <c r="H519" s="127">
        <v>0</v>
      </c>
    </row>
    <row r="520" spans="2:8">
      <c r="B520" s="152">
        <f t="shared" si="199"/>
        <v>0</v>
      </c>
      <c r="D520" s="127">
        <v>0</v>
      </c>
      <c r="E520" s="127">
        <v>0</v>
      </c>
      <c r="F520" s="127">
        <v>0</v>
      </c>
      <c r="G520" s="127">
        <v>0</v>
      </c>
      <c r="H520" s="127">
        <v>0</v>
      </c>
    </row>
    <row r="521" spans="2:8">
      <c r="B521" s="152">
        <f t="shared" ref="B521:B533" si="200">B335</f>
        <v>0</v>
      </c>
      <c r="D521" s="127">
        <v>0</v>
      </c>
      <c r="E521" s="127">
        <v>0</v>
      </c>
      <c r="F521" s="127">
        <v>0</v>
      </c>
      <c r="G521" s="127">
        <v>0</v>
      </c>
      <c r="H521" s="127">
        <v>0</v>
      </c>
    </row>
    <row r="522" spans="2:8">
      <c r="B522" s="152">
        <f t="shared" si="200"/>
        <v>0</v>
      </c>
      <c r="D522" s="127">
        <v>0</v>
      </c>
      <c r="E522" s="127">
        <v>0</v>
      </c>
      <c r="F522" s="127">
        <v>0</v>
      </c>
      <c r="G522" s="127">
        <v>0</v>
      </c>
      <c r="H522" s="127">
        <v>0</v>
      </c>
    </row>
    <row r="523" spans="2:8">
      <c r="B523" s="152">
        <f t="shared" si="200"/>
        <v>0</v>
      </c>
      <c r="D523" s="127">
        <v>0</v>
      </c>
      <c r="E523" s="127">
        <v>0</v>
      </c>
      <c r="F523" s="127">
        <v>0</v>
      </c>
      <c r="G523" s="127">
        <v>0</v>
      </c>
      <c r="H523" s="127">
        <v>0</v>
      </c>
    </row>
    <row r="524" spans="2:8">
      <c r="B524" s="152">
        <f t="shared" si="200"/>
        <v>0</v>
      </c>
      <c r="D524" s="127">
        <v>0</v>
      </c>
      <c r="E524" s="127">
        <v>0</v>
      </c>
      <c r="F524" s="127">
        <v>0</v>
      </c>
      <c r="G524" s="127">
        <v>0</v>
      </c>
      <c r="H524" s="127">
        <v>0</v>
      </c>
    </row>
    <row r="525" spans="2:8">
      <c r="B525" s="152">
        <f t="shared" si="200"/>
        <v>0</v>
      </c>
      <c r="D525" s="127">
        <v>0</v>
      </c>
      <c r="E525" s="127">
        <v>0</v>
      </c>
      <c r="F525" s="127">
        <v>0</v>
      </c>
      <c r="G525" s="127">
        <v>0</v>
      </c>
      <c r="H525" s="127">
        <v>0</v>
      </c>
    </row>
    <row r="526" spans="2:8">
      <c r="B526" s="152">
        <f t="shared" si="200"/>
        <v>0</v>
      </c>
      <c r="D526" s="127">
        <v>0</v>
      </c>
      <c r="E526" s="127">
        <v>0</v>
      </c>
      <c r="F526" s="127">
        <v>0</v>
      </c>
      <c r="G526" s="127">
        <v>0</v>
      </c>
      <c r="H526" s="127">
        <v>0</v>
      </c>
    </row>
    <row r="527" spans="2:8">
      <c r="B527" s="152">
        <f t="shared" si="200"/>
        <v>0</v>
      </c>
      <c r="D527" s="127">
        <v>0</v>
      </c>
      <c r="E527" s="127">
        <v>0</v>
      </c>
      <c r="F527" s="127">
        <v>0</v>
      </c>
      <c r="G527" s="127">
        <v>0</v>
      </c>
      <c r="H527" s="127">
        <v>0</v>
      </c>
    </row>
    <row r="528" spans="2:8">
      <c r="B528" s="152">
        <f t="shared" si="200"/>
        <v>0</v>
      </c>
      <c r="D528" s="127">
        <v>0</v>
      </c>
      <c r="E528" s="127">
        <v>0</v>
      </c>
      <c r="F528" s="127">
        <v>0</v>
      </c>
      <c r="G528" s="127">
        <v>0</v>
      </c>
      <c r="H528" s="127">
        <v>0</v>
      </c>
    </row>
    <row r="529" spans="2:8">
      <c r="B529" s="152">
        <f t="shared" si="200"/>
        <v>0</v>
      </c>
      <c r="D529" s="127">
        <v>0</v>
      </c>
      <c r="E529" s="127">
        <v>0</v>
      </c>
      <c r="F529" s="127">
        <v>0</v>
      </c>
      <c r="G529" s="127">
        <v>0</v>
      </c>
      <c r="H529" s="127">
        <v>0</v>
      </c>
    </row>
    <row r="530" spans="2:8">
      <c r="B530" s="152">
        <f t="shared" si="200"/>
        <v>0</v>
      </c>
      <c r="D530" s="127">
        <v>0</v>
      </c>
      <c r="E530" s="127">
        <v>0</v>
      </c>
      <c r="F530" s="127">
        <v>0</v>
      </c>
      <c r="G530" s="127">
        <v>0</v>
      </c>
      <c r="H530" s="127">
        <v>0</v>
      </c>
    </row>
    <row r="531" spans="2:8">
      <c r="B531" s="152">
        <f t="shared" si="200"/>
        <v>0</v>
      </c>
      <c r="D531" s="127">
        <v>0</v>
      </c>
      <c r="E531" s="127">
        <v>0</v>
      </c>
      <c r="F531" s="127">
        <v>0</v>
      </c>
      <c r="G531" s="127">
        <v>0</v>
      </c>
      <c r="H531" s="127">
        <v>0</v>
      </c>
    </row>
    <row r="532" spans="2:8">
      <c r="B532" s="152">
        <f t="shared" si="200"/>
        <v>0</v>
      </c>
      <c r="D532" s="127">
        <v>0</v>
      </c>
      <c r="E532" s="127">
        <v>0</v>
      </c>
      <c r="F532" s="127">
        <v>0</v>
      </c>
      <c r="G532" s="127">
        <v>0</v>
      </c>
      <c r="H532" s="127">
        <v>0</v>
      </c>
    </row>
    <row r="533" spans="2:8">
      <c r="B533" s="152">
        <f t="shared" si="200"/>
        <v>0</v>
      </c>
      <c r="D533" s="127">
        <v>0</v>
      </c>
      <c r="E533" s="127">
        <v>0</v>
      </c>
      <c r="F533" s="127">
        <v>0</v>
      </c>
      <c r="G533" s="127">
        <v>0</v>
      </c>
      <c r="H533" s="127">
        <v>0</v>
      </c>
    </row>
    <row r="534" spans="2:8">
      <c r="B534" s="152">
        <f t="shared" ref="B534:B575" si="201">B348</f>
        <v>0</v>
      </c>
      <c r="D534" s="127">
        <v>0</v>
      </c>
      <c r="E534" s="127">
        <v>0</v>
      </c>
      <c r="F534" s="127">
        <v>0</v>
      </c>
      <c r="G534" s="127">
        <v>0</v>
      </c>
      <c r="H534" s="127">
        <v>0</v>
      </c>
    </row>
    <row r="535" spans="2:8">
      <c r="B535" s="152">
        <f t="shared" si="201"/>
        <v>0</v>
      </c>
      <c r="D535" s="127">
        <v>0</v>
      </c>
      <c r="E535" s="127">
        <v>0</v>
      </c>
      <c r="F535" s="127">
        <v>0</v>
      </c>
      <c r="G535" s="127">
        <v>0</v>
      </c>
      <c r="H535" s="127">
        <v>0</v>
      </c>
    </row>
    <row r="536" spans="2:8">
      <c r="B536" s="152">
        <f t="shared" si="201"/>
        <v>0</v>
      </c>
      <c r="D536" s="127">
        <v>0</v>
      </c>
      <c r="E536" s="127">
        <v>0</v>
      </c>
      <c r="F536" s="127">
        <v>0</v>
      </c>
      <c r="G536" s="127">
        <v>0</v>
      </c>
      <c r="H536" s="127">
        <v>0</v>
      </c>
    </row>
    <row r="537" spans="2:8">
      <c r="B537" s="152">
        <f t="shared" si="201"/>
        <v>0</v>
      </c>
      <c r="D537" s="127">
        <v>0</v>
      </c>
      <c r="E537" s="127">
        <v>0</v>
      </c>
      <c r="F537" s="127">
        <v>0</v>
      </c>
      <c r="G537" s="127">
        <v>0</v>
      </c>
      <c r="H537" s="127">
        <v>0</v>
      </c>
    </row>
    <row r="538" spans="2:8">
      <c r="B538" s="152">
        <f t="shared" si="201"/>
        <v>0</v>
      </c>
      <c r="D538" s="127">
        <v>0</v>
      </c>
      <c r="E538" s="127">
        <v>0</v>
      </c>
      <c r="F538" s="127">
        <v>0</v>
      </c>
      <c r="G538" s="127">
        <v>0</v>
      </c>
      <c r="H538" s="127">
        <v>0</v>
      </c>
    </row>
    <row r="539" spans="2:8">
      <c r="B539" s="152">
        <f t="shared" si="201"/>
        <v>0</v>
      </c>
      <c r="D539" s="127">
        <v>0</v>
      </c>
      <c r="E539" s="127">
        <v>0</v>
      </c>
      <c r="F539" s="127">
        <v>0</v>
      </c>
      <c r="G539" s="127">
        <v>0</v>
      </c>
      <c r="H539" s="127">
        <v>0</v>
      </c>
    </row>
    <row r="540" spans="2:8">
      <c r="B540" s="152">
        <f t="shared" si="201"/>
        <v>0</v>
      </c>
      <c r="D540" s="127">
        <v>0</v>
      </c>
      <c r="E540" s="127">
        <v>0</v>
      </c>
      <c r="F540" s="127">
        <v>0</v>
      </c>
      <c r="G540" s="127">
        <v>0</v>
      </c>
      <c r="H540" s="127">
        <v>0</v>
      </c>
    </row>
    <row r="541" spans="2:8">
      <c r="B541" s="152">
        <f t="shared" si="201"/>
        <v>0</v>
      </c>
      <c r="D541" s="127">
        <v>0</v>
      </c>
      <c r="E541" s="127">
        <v>0</v>
      </c>
      <c r="F541" s="127">
        <v>0</v>
      </c>
      <c r="G541" s="127">
        <v>0</v>
      </c>
      <c r="H541" s="127">
        <v>0</v>
      </c>
    </row>
    <row r="542" spans="2:8">
      <c r="B542" s="152">
        <f t="shared" si="201"/>
        <v>0</v>
      </c>
      <c r="D542" s="127">
        <v>0</v>
      </c>
      <c r="E542" s="127">
        <v>0</v>
      </c>
      <c r="F542" s="127">
        <v>0</v>
      </c>
      <c r="G542" s="127">
        <v>0</v>
      </c>
      <c r="H542" s="127">
        <v>0</v>
      </c>
    </row>
    <row r="543" spans="2:8">
      <c r="B543" s="152">
        <f t="shared" si="201"/>
        <v>0</v>
      </c>
      <c r="D543" s="127">
        <v>0</v>
      </c>
      <c r="E543" s="127">
        <v>0</v>
      </c>
      <c r="F543" s="127">
        <v>0</v>
      </c>
      <c r="G543" s="127">
        <v>0</v>
      </c>
      <c r="H543" s="127">
        <v>0</v>
      </c>
    </row>
    <row r="544" spans="2:8">
      <c r="B544" s="152">
        <f t="shared" si="201"/>
        <v>0</v>
      </c>
      <c r="D544" s="127">
        <v>0</v>
      </c>
      <c r="E544" s="127">
        <v>0</v>
      </c>
      <c r="F544" s="127">
        <v>0</v>
      </c>
      <c r="G544" s="127">
        <v>0</v>
      </c>
      <c r="H544" s="127">
        <v>0</v>
      </c>
    </row>
    <row r="545" spans="2:8">
      <c r="B545" s="152">
        <f t="shared" si="201"/>
        <v>0</v>
      </c>
      <c r="D545" s="127">
        <v>0</v>
      </c>
      <c r="E545" s="127">
        <v>0</v>
      </c>
      <c r="F545" s="127">
        <v>0</v>
      </c>
      <c r="G545" s="127">
        <v>0</v>
      </c>
      <c r="H545" s="127">
        <v>0</v>
      </c>
    </row>
    <row r="546" spans="2:8">
      <c r="B546" s="152">
        <f t="shared" si="201"/>
        <v>0</v>
      </c>
      <c r="D546" s="127">
        <v>0</v>
      </c>
      <c r="E546" s="127">
        <v>0</v>
      </c>
      <c r="F546" s="127">
        <v>0</v>
      </c>
      <c r="G546" s="127">
        <v>0</v>
      </c>
      <c r="H546" s="127">
        <v>0</v>
      </c>
    </row>
    <row r="547" spans="2:8">
      <c r="B547" s="152">
        <f t="shared" si="201"/>
        <v>0</v>
      </c>
      <c r="D547" s="127">
        <v>0</v>
      </c>
      <c r="E547" s="127">
        <v>0</v>
      </c>
      <c r="F547" s="127">
        <v>0</v>
      </c>
      <c r="G547" s="127">
        <v>0</v>
      </c>
      <c r="H547" s="127">
        <v>0</v>
      </c>
    </row>
    <row r="548" spans="2:8">
      <c r="B548" s="152">
        <f t="shared" si="201"/>
        <v>0</v>
      </c>
      <c r="D548" s="127">
        <v>0</v>
      </c>
      <c r="E548" s="127">
        <v>0</v>
      </c>
      <c r="F548" s="127">
        <v>0</v>
      </c>
      <c r="G548" s="127">
        <v>0</v>
      </c>
      <c r="H548" s="127">
        <v>0</v>
      </c>
    </row>
    <row r="549" spans="2:8">
      <c r="B549" s="152">
        <f t="shared" si="201"/>
        <v>0</v>
      </c>
      <c r="D549" s="127">
        <v>0</v>
      </c>
      <c r="E549" s="127">
        <v>0</v>
      </c>
      <c r="F549" s="127">
        <v>0</v>
      </c>
      <c r="G549" s="127">
        <v>0</v>
      </c>
      <c r="H549" s="127">
        <v>0</v>
      </c>
    </row>
    <row r="550" spans="2:8">
      <c r="B550" s="152">
        <f t="shared" si="201"/>
        <v>0</v>
      </c>
      <c r="D550" s="127">
        <v>0</v>
      </c>
      <c r="E550" s="127">
        <v>0</v>
      </c>
      <c r="F550" s="127">
        <v>0</v>
      </c>
      <c r="G550" s="127">
        <v>0</v>
      </c>
      <c r="H550" s="127">
        <v>0</v>
      </c>
    </row>
    <row r="551" spans="2:8">
      <c r="B551" s="152">
        <f t="shared" si="201"/>
        <v>0</v>
      </c>
      <c r="D551" s="127">
        <v>0</v>
      </c>
      <c r="E551" s="127">
        <v>0</v>
      </c>
      <c r="F551" s="127">
        <v>0</v>
      </c>
      <c r="G551" s="127">
        <v>0</v>
      </c>
      <c r="H551" s="127">
        <v>0</v>
      </c>
    </row>
    <row r="552" spans="2:8">
      <c r="B552" s="152">
        <f t="shared" si="201"/>
        <v>0</v>
      </c>
      <c r="D552" s="127">
        <v>0</v>
      </c>
      <c r="E552" s="127">
        <v>0</v>
      </c>
      <c r="F552" s="127">
        <v>0</v>
      </c>
      <c r="G552" s="127">
        <v>0</v>
      </c>
      <c r="H552" s="127">
        <v>0</v>
      </c>
    </row>
    <row r="553" spans="2:8">
      <c r="B553" s="152">
        <f t="shared" si="201"/>
        <v>0</v>
      </c>
      <c r="D553" s="127">
        <v>0</v>
      </c>
      <c r="E553" s="127">
        <v>0</v>
      </c>
      <c r="F553" s="127">
        <v>0</v>
      </c>
      <c r="G553" s="127">
        <v>0</v>
      </c>
      <c r="H553" s="127">
        <v>0</v>
      </c>
    </row>
    <row r="554" spans="2:8">
      <c r="B554" s="152">
        <f t="shared" si="201"/>
        <v>0</v>
      </c>
      <c r="D554" s="127">
        <v>0</v>
      </c>
      <c r="E554" s="127">
        <v>0</v>
      </c>
      <c r="F554" s="127">
        <v>0</v>
      </c>
      <c r="G554" s="127">
        <v>0</v>
      </c>
      <c r="H554" s="127">
        <v>0</v>
      </c>
    </row>
    <row r="555" spans="2:8">
      <c r="B555" s="152">
        <f t="shared" si="201"/>
        <v>0</v>
      </c>
      <c r="D555" s="127">
        <v>0</v>
      </c>
      <c r="E555" s="127">
        <v>0</v>
      </c>
      <c r="F555" s="127">
        <v>0</v>
      </c>
      <c r="G555" s="127">
        <v>0</v>
      </c>
      <c r="H555" s="127">
        <v>0</v>
      </c>
    </row>
    <row r="556" spans="2:8">
      <c r="B556" s="152">
        <f t="shared" si="201"/>
        <v>0</v>
      </c>
      <c r="D556" s="127">
        <v>0</v>
      </c>
      <c r="E556" s="127">
        <v>0</v>
      </c>
      <c r="F556" s="127">
        <v>0</v>
      </c>
      <c r="G556" s="127">
        <v>0</v>
      </c>
      <c r="H556" s="127">
        <v>0</v>
      </c>
    </row>
    <row r="557" spans="2:8">
      <c r="B557" s="152">
        <f t="shared" si="201"/>
        <v>0</v>
      </c>
      <c r="D557" s="127">
        <v>0</v>
      </c>
      <c r="E557" s="127">
        <v>0</v>
      </c>
      <c r="F557" s="127">
        <v>0</v>
      </c>
      <c r="G557" s="127">
        <v>0</v>
      </c>
      <c r="H557" s="127">
        <v>0</v>
      </c>
    </row>
    <row r="558" spans="2:8">
      <c r="B558" s="152">
        <f t="shared" si="201"/>
        <v>0</v>
      </c>
      <c r="D558" s="127">
        <v>0</v>
      </c>
      <c r="E558" s="127">
        <v>0</v>
      </c>
      <c r="F558" s="127">
        <v>0</v>
      </c>
      <c r="G558" s="127">
        <v>0</v>
      </c>
      <c r="H558" s="127">
        <v>0</v>
      </c>
    </row>
    <row r="559" spans="2:8">
      <c r="B559" s="152">
        <f t="shared" si="201"/>
        <v>0</v>
      </c>
      <c r="D559" s="127">
        <v>0</v>
      </c>
      <c r="E559" s="127">
        <v>0</v>
      </c>
      <c r="F559" s="127">
        <v>0</v>
      </c>
      <c r="G559" s="127">
        <v>0</v>
      </c>
      <c r="H559" s="127">
        <v>0</v>
      </c>
    </row>
    <row r="560" spans="2:8">
      <c r="B560" s="152">
        <f t="shared" si="201"/>
        <v>0</v>
      </c>
      <c r="D560" s="127">
        <v>0</v>
      </c>
      <c r="E560" s="127">
        <v>0</v>
      </c>
      <c r="F560" s="127">
        <v>0</v>
      </c>
      <c r="G560" s="127">
        <v>0</v>
      </c>
      <c r="H560" s="127">
        <v>0</v>
      </c>
    </row>
    <row r="561" spans="2:8">
      <c r="B561" s="152">
        <f t="shared" si="201"/>
        <v>0</v>
      </c>
      <c r="D561" s="127">
        <v>0</v>
      </c>
      <c r="E561" s="127">
        <v>0</v>
      </c>
      <c r="F561" s="127">
        <v>0</v>
      </c>
      <c r="G561" s="127">
        <v>0</v>
      </c>
      <c r="H561" s="127">
        <v>0</v>
      </c>
    </row>
    <row r="562" spans="2:8">
      <c r="B562" s="152">
        <f t="shared" si="201"/>
        <v>0</v>
      </c>
      <c r="D562" s="127">
        <v>0</v>
      </c>
      <c r="E562" s="127">
        <v>0</v>
      </c>
      <c r="F562" s="127">
        <v>0</v>
      </c>
      <c r="G562" s="127">
        <v>0</v>
      </c>
      <c r="H562" s="127">
        <v>0</v>
      </c>
    </row>
    <row r="563" spans="2:8">
      <c r="B563" s="152">
        <f t="shared" si="201"/>
        <v>0</v>
      </c>
      <c r="D563" s="127">
        <v>0</v>
      </c>
      <c r="E563" s="127">
        <v>0</v>
      </c>
      <c r="F563" s="127">
        <v>0</v>
      </c>
      <c r="G563" s="127">
        <v>0</v>
      </c>
      <c r="H563" s="127">
        <v>0</v>
      </c>
    </row>
    <row r="564" spans="2:8">
      <c r="B564" s="152">
        <f t="shared" si="201"/>
        <v>0</v>
      </c>
      <c r="D564" s="127">
        <v>0</v>
      </c>
      <c r="E564" s="127">
        <v>0</v>
      </c>
      <c r="F564" s="127">
        <v>0</v>
      </c>
      <c r="G564" s="127">
        <v>0</v>
      </c>
      <c r="H564" s="127">
        <v>0</v>
      </c>
    </row>
    <row r="565" spans="2:8">
      <c r="B565" s="152">
        <f t="shared" si="201"/>
        <v>0</v>
      </c>
      <c r="D565" s="127">
        <v>0</v>
      </c>
      <c r="E565" s="127">
        <v>0</v>
      </c>
      <c r="F565" s="127">
        <v>0</v>
      </c>
      <c r="G565" s="127">
        <v>0</v>
      </c>
      <c r="H565" s="127">
        <v>0</v>
      </c>
    </row>
    <row r="566" spans="2:8">
      <c r="B566" s="152">
        <f t="shared" si="201"/>
        <v>0</v>
      </c>
      <c r="D566" s="127">
        <v>0</v>
      </c>
      <c r="E566" s="127">
        <v>0</v>
      </c>
      <c r="F566" s="127">
        <v>0</v>
      </c>
      <c r="G566" s="127">
        <v>0</v>
      </c>
      <c r="H566" s="127">
        <v>0</v>
      </c>
    </row>
    <row r="567" spans="2:8">
      <c r="B567" s="152">
        <f t="shared" si="201"/>
        <v>0</v>
      </c>
      <c r="D567" s="127">
        <v>0</v>
      </c>
      <c r="E567" s="127">
        <v>0</v>
      </c>
      <c r="F567" s="127">
        <v>0</v>
      </c>
      <c r="G567" s="127">
        <v>0</v>
      </c>
      <c r="H567" s="127">
        <v>0</v>
      </c>
    </row>
    <row r="568" spans="2:8">
      <c r="B568" s="152">
        <f t="shared" si="201"/>
        <v>0</v>
      </c>
      <c r="D568" s="127">
        <v>0</v>
      </c>
      <c r="E568" s="127">
        <v>0</v>
      </c>
      <c r="F568" s="127">
        <v>0</v>
      </c>
      <c r="G568" s="127">
        <v>0</v>
      </c>
      <c r="H568" s="127">
        <v>0</v>
      </c>
    </row>
    <row r="569" spans="2:8">
      <c r="B569" s="152">
        <f t="shared" si="201"/>
        <v>0</v>
      </c>
      <c r="D569" s="127">
        <v>0</v>
      </c>
      <c r="E569" s="127">
        <v>0</v>
      </c>
      <c r="F569" s="127">
        <v>0</v>
      </c>
      <c r="G569" s="127">
        <v>0</v>
      </c>
      <c r="H569" s="127">
        <v>0</v>
      </c>
    </row>
    <row r="570" spans="2:8">
      <c r="B570" s="152">
        <f t="shared" si="201"/>
        <v>0</v>
      </c>
      <c r="D570" s="127">
        <v>0</v>
      </c>
      <c r="E570" s="127">
        <v>0</v>
      </c>
      <c r="F570" s="127">
        <v>0</v>
      </c>
      <c r="G570" s="127">
        <v>0</v>
      </c>
      <c r="H570" s="127">
        <v>0</v>
      </c>
    </row>
    <row r="571" spans="2:8">
      <c r="B571" s="152">
        <f t="shared" si="201"/>
        <v>0</v>
      </c>
      <c r="D571" s="127">
        <v>0</v>
      </c>
      <c r="E571" s="127">
        <v>0</v>
      </c>
      <c r="F571" s="127">
        <v>0</v>
      </c>
      <c r="G571" s="127">
        <v>0</v>
      </c>
      <c r="H571" s="127">
        <v>0</v>
      </c>
    </row>
    <row r="572" spans="2:8">
      <c r="B572" s="152">
        <f t="shared" si="201"/>
        <v>0</v>
      </c>
      <c r="D572" s="127">
        <v>0</v>
      </c>
      <c r="E572" s="127">
        <v>0</v>
      </c>
      <c r="F572" s="127">
        <v>0</v>
      </c>
      <c r="G572" s="127">
        <v>0</v>
      </c>
      <c r="H572" s="127">
        <v>0</v>
      </c>
    </row>
    <row r="573" spans="2:8">
      <c r="B573" s="152">
        <f t="shared" si="201"/>
        <v>0</v>
      </c>
      <c r="D573" s="127">
        <v>0</v>
      </c>
      <c r="E573" s="127">
        <v>0</v>
      </c>
      <c r="F573" s="127">
        <v>0</v>
      </c>
      <c r="G573" s="127">
        <v>0</v>
      </c>
      <c r="H573" s="127">
        <v>0</v>
      </c>
    </row>
    <row r="574" spans="2:8">
      <c r="B574" s="2" t="str">
        <f t="shared" si="201"/>
        <v>Carndo Year 4 Reduction</v>
      </c>
      <c r="D574" s="127">
        <v>0</v>
      </c>
      <c r="E574" s="127">
        <v>0</v>
      </c>
      <c r="F574" s="127">
        <v>0</v>
      </c>
      <c r="G574" s="127">
        <v>0</v>
      </c>
      <c r="H574" s="127">
        <v>0</v>
      </c>
    </row>
    <row r="575" spans="2:8">
      <c r="B575" s="2" t="str">
        <f t="shared" si="201"/>
        <v>Carndo Year 5 Reduction</v>
      </c>
      <c r="D575" s="127">
        <v>0</v>
      </c>
      <c r="E575" s="127">
        <v>0</v>
      </c>
      <c r="F575" s="127">
        <v>0</v>
      </c>
      <c r="G575" s="127">
        <v>0</v>
      </c>
      <c r="H575" s="127">
        <v>0</v>
      </c>
    </row>
    <row r="576" spans="2:8">
      <c r="B576" s="2" t="s">
        <v>52</v>
      </c>
      <c r="D576" s="48">
        <f>SUM(D393:D575)</f>
        <v>0</v>
      </c>
      <c r="E576" s="48">
        <f>SUM(E393:E575)</f>
        <v>0</v>
      </c>
      <c r="F576" s="48">
        <f>SUM(F393:F575)</f>
        <v>0</v>
      </c>
      <c r="G576" s="48">
        <f>SUM(G393:G575)</f>
        <v>0</v>
      </c>
      <c r="H576" s="48">
        <f>SUM(H393:H575)</f>
        <v>0</v>
      </c>
    </row>
    <row r="577" spans="2:8">
      <c r="D577" s="70"/>
      <c r="E577" s="70"/>
      <c r="F577" s="70"/>
      <c r="G577" s="70"/>
      <c r="H577" s="70"/>
    </row>
    <row r="578" spans="2:8" ht="15.75">
      <c r="B578" s="10" t="s">
        <v>18</v>
      </c>
      <c r="D578" s="30"/>
      <c r="E578" s="30"/>
      <c r="F578" s="30"/>
      <c r="G578" s="30"/>
      <c r="H578" s="30"/>
    </row>
    <row r="579" spans="2:8">
      <c r="B579" s="152">
        <f t="shared" ref="B579:B610" si="202">B393</f>
        <v>0</v>
      </c>
      <c r="D579" s="30">
        <f>IF('11. Water - Capex Input'!$I5=D$3,'11. Water - Capex Input'!$J5,0)</f>
        <v>165541.26499999998</v>
      </c>
      <c r="E579" s="30">
        <f>IF('11. Water - Capex Input'!$I5=E$3,'11. Water - Capex Input'!$J5,0)</f>
        <v>0</v>
      </c>
      <c r="F579" s="30">
        <f>IF('11. Water - Capex Input'!$I5=F$3,'11. Water - Capex Input'!$J5,0)</f>
        <v>0</v>
      </c>
      <c r="G579" s="30">
        <f>IF('11. Water - Capex Input'!$I5=G$3,'11. Water - Capex Input'!$J5,0)</f>
        <v>0</v>
      </c>
      <c r="H579" s="30">
        <f>IF('11. Water - Capex Input'!$I5=H$3,'11. Water - Capex Input'!$J5,0)</f>
        <v>0</v>
      </c>
    </row>
    <row r="580" spans="2:8">
      <c r="B580" s="152">
        <f t="shared" si="202"/>
        <v>0</v>
      </c>
      <c r="D580" s="30">
        <f>IF('11. Water - Capex Input'!$I6=D$3,'11. Water - Capex Input'!$J6,0)</f>
        <v>0</v>
      </c>
      <c r="E580" s="30">
        <f>IF('11. Water - Capex Input'!$I6=E$3,'11. Water - Capex Input'!$J6,0)</f>
        <v>508985.67499999999</v>
      </c>
      <c r="F580" s="30">
        <f>IF('11. Water - Capex Input'!$I6=F$3,'11. Water - Capex Input'!$J6,0)</f>
        <v>0</v>
      </c>
      <c r="G580" s="30">
        <f>IF('11. Water - Capex Input'!$I6=G$3,'11. Water - Capex Input'!$J6,0)</f>
        <v>0</v>
      </c>
      <c r="H580" s="30">
        <f>IF('11. Water - Capex Input'!$I6=H$3,'11. Water - Capex Input'!$J6,0)</f>
        <v>0</v>
      </c>
    </row>
    <row r="581" spans="2:8">
      <c r="B581" s="152">
        <f t="shared" si="202"/>
        <v>0</v>
      </c>
      <c r="D581" s="30">
        <f>IF('11. Water - Capex Input'!$I7=D$3,'11. Water - Capex Input'!$J7,0)</f>
        <v>0</v>
      </c>
      <c r="E581" s="30">
        <f>IF('11. Water - Capex Input'!$I7=E$3,'11. Water - Capex Input'!$J7,0)</f>
        <v>0</v>
      </c>
      <c r="F581" s="30">
        <f>IF('11. Water - Capex Input'!$I7=F$3,'11. Water - Capex Input'!$J7,0)</f>
        <v>105433.5</v>
      </c>
      <c r="G581" s="30">
        <f>IF('11. Water - Capex Input'!$I7=G$3,'11. Water - Capex Input'!$J7,0)</f>
        <v>0</v>
      </c>
      <c r="H581" s="30">
        <f>IF('11. Water - Capex Input'!$I7=H$3,'11. Water - Capex Input'!$J7,0)</f>
        <v>0</v>
      </c>
    </row>
    <row r="582" spans="2:8">
      <c r="B582" s="152">
        <f t="shared" si="202"/>
        <v>0</v>
      </c>
      <c r="D582" s="30">
        <f>IF('11. Water - Capex Input'!$I8=D$3,'11. Water - Capex Input'!$J8,0)</f>
        <v>98315.540000000008</v>
      </c>
      <c r="E582" s="30">
        <f>IF('11. Water - Capex Input'!$I8=E$3,'11. Water - Capex Input'!$J8,0)</f>
        <v>0</v>
      </c>
      <c r="F582" s="30">
        <f>IF('11. Water - Capex Input'!$I8=F$3,'11. Water - Capex Input'!$J8,0)</f>
        <v>0</v>
      </c>
      <c r="G582" s="30">
        <f>IF('11. Water - Capex Input'!$I8=G$3,'11. Water - Capex Input'!$J8,0)</f>
        <v>0</v>
      </c>
      <c r="H582" s="30">
        <f>IF('11. Water - Capex Input'!$I8=H$3,'11. Water - Capex Input'!$J8,0)</f>
        <v>0</v>
      </c>
    </row>
    <row r="583" spans="2:8">
      <c r="B583" s="152">
        <f t="shared" si="202"/>
        <v>0</v>
      </c>
      <c r="D583" s="30">
        <f>IF('11. Water - Capex Input'!$I9=D$3,'11. Water - Capex Input'!$J9,0)</f>
        <v>0</v>
      </c>
      <c r="E583" s="30">
        <f>IF('11. Water - Capex Input'!$I9=E$3,'11. Water - Capex Input'!$J9,0)</f>
        <v>4229.0950000000003</v>
      </c>
      <c r="F583" s="30">
        <f>IF('11. Water - Capex Input'!$I9=F$3,'11. Water - Capex Input'!$J9,0)</f>
        <v>0</v>
      </c>
      <c r="G583" s="30">
        <f>IF('11. Water - Capex Input'!$I9=G$3,'11. Water - Capex Input'!$J9,0)</f>
        <v>0</v>
      </c>
      <c r="H583" s="30">
        <f>IF('11. Water - Capex Input'!$I9=H$3,'11. Water - Capex Input'!$J9,0)</f>
        <v>0</v>
      </c>
    </row>
    <row r="584" spans="2:8">
      <c r="B584" s="152">
        <f t="shared" si="202"/>
        <v>0</v>
      </c>
      <c r="D584" s="30">
        <f>IF('11. Water - Capex Input'!$I10=D$3,'11. Water - Capex Input'!$J10,0)</f>
        <v>273176.2</v>
      </c>
      <c r="E584" s="30">
        <f>IF('11. Water - Capex Input'!$I10=E$3,'11. Water - Capex Input'!$J10,0)</f>
        <v>0</v>
      </c>
      <c r="F584" s="30">
        <f>IF('11. Water - Capex Input'!$I10=F$3,'11. Water - Capex Input'!$J10,0)</f>
        <v>0</v>
      </c>
      <c r="G584" s="30">
        <f>IF('11. Water - Capex Input'!$I10=G$3,'11. Water - Capex Input'!$J10,0)</f>
        <v>0</v>
      </c>
      <c r="H584" s="30">
        <f>IF('11. Water - Capex Input'!$I10=H$3,'11. Water - Capex Input'!$J10,0)</f>
        <v>0</v>
      </c>
    </row>
    <row r="585" spans="2:8">
      <c r="B585" s="152">
        <f t="shared" si="202"/>
        <v>0</v>
      </c>
      <c r="D585" s="30">
        <f>IF('11. Water - Capex Input'!$I11=D$3,'11. Water - Capex Input'!$J11,0)</f>
        <v>0</v>
      </c>
      <c r="E585" s="30">
        <f>IF('11. Water - Capex Input'!$I11=E$3,'11. Water - Capex Input'!$J11,0)</f>
        <v>1836153.4933333334</v>
      </c>
      <c r="F585" s="30">
        <f>IF('11. Water - Capex Input'!$I11=F$3,'11. Water - Capex Input'!$J11,0)</f>
        <v>0</v>
      </c>
      <c r="G585" s="30">
        <f>IF('11. Water - Capex Input'!$I11=G$3,'11. Water - Capex Input'!$J11,0)</f>
        <v>0</v>
      </c>
      <c r="H585" s="30">
        <f>IF('11. Water - Capex Input'!$I11=H$3,'11. Water - Capex Input'!$J11,0)</f>
        <v>0</v>
      </c>
    </row>
    <row r="586" spans="2:8">
      <c r="B586" s="152">
        <f t="shared" si="202"/>
        <v>0</v>
      </c>
      <c r="D586" s="30">
        <f>IF('11. Water - Capex Input'!$I12=D$3,'11. Water - Capex Input'!$J12,0)</f>
        <v>0</v>
      </c>
      <c r="E586" s="30">
        <f>IF('11. Water - Capex Input'!$I12=E$3,'11. Water - Capex Input'!$J12,0)</f>
        <v>0</v>
      </c>
      <c r="F586" s="30">
        <f>IF('11. Water - Capex Input'!$I12=F$3,'11. Water - Capex Input'!$J12,0)</f>
        <v>4350000</v>
      </c>
      <c r="G586" s="30">
        <f>IF('11. Water - Capex Input'!$I12=G$3,'11. Water - Capex Input'!$J12,0)</f>
        <v>0</v>
      </c>
      <c r="H586" s="30">
        <f>IF('11. Water - Capex Input'!$I12=H$3,'11. Water - Capex Input'!$J12,0)</f>
        <v>0</v>
      </c>
    </row>
    <row r="587" spans="2:8">
      <c r="B587" s="152">
        <f t="shared" si="202"/>
        <v>0</v>
      </c>
      <c r="D587" s="30">
        <f>IF('11. Water - Capex Input'!$I13=D$3,'11. Water - Capex Input'!$J13,0)</f>
        <v>0</v>
      </c>
      <c r="E587" s="30">
        <f>IF('11. Water - Capex Input'!$I13=E$3,'11. Water - Capex Input'!$J13,0)</f>
        <v>0</v>
      </c>
      <c r="F587" s="30">
        <f>IF('11. Water - Capex Input'!$I13=F$3,'11. Water - Capex Input'!$J13,0)</f>
        <v>521846.8621056804</v>
      </c>
      <c r="G587" s="30">
        <f>IF('11. Water - Capex Input'!$I13=G$3,'11. Water - Capex Input'!$J13,0)</f>
        <v>0</v>
      </c>
      <c r="H587" s="30">
        <f>IF('11. Water - Capex Input'!$I13=H$3,'11. Water - Capex Input'!$J13,0)</f>
        <v>0</v>
      </c>
    </row>
    <row r="588" spans="2:8">
      <c r="B588" s="152">
        <f t="shared" si="202"/>
        <v>0</v>
      </c>
      <c r="D588" s="30">
        <f>IF('11. Water - Capex Input'!$I14=D$3,'11. Water - Capex Input'!$J14,0)</f>
        <v>0</v>
      </c>
      <c r="E588" s="30">
        <f>IF('11. Water - Capex Input'!$I14=E$3,'11. Water - Capex Input'!$J14,0)</f>
        <v>0</v>
      </c>
      <c r="F588" s="30">
        <f>IF('11. Water - Capex Input'!$I14=F$3,'11. Water - Capex Input'!$J14,0)</f>
        <v>0</v>
      </c>
      <c r="G588" s="30">
        <f>IF('11. Water - Capex Input'!$I14=G$3,'11. Water - Capex Input'!$J14,0)</f>
        <v>2677141.8377759494</v>
      </c>
      <c r="H588" s="30">
        <f>IF('11. Water - Capex Input'!$I14=H$3,'11. Water - Capex Input'!$J14,0)</f>
        <v>0</v>
      </c>
    </row>
    <row r="589" spans="2:8">
      <c r="B589" s="152">
        <f t="shared" si="202"/>
        <v>0</v>
      </c>
      <c r="D589" s="30">
        <f>IF('11. Water - Capex Input'!$I15=D$3,'11. Water - Capex Input'!$J15,0)</f>
        <v>0</v>
      </c>
      <c r="E589" s="30">
        <f>IF('11. Water - Capex Input'!$I15=E$3,'11. Water - Capex Input'!$J15,0)</f>
        <v>0</v>
      </c>
      <c r="F589" s="30">
        <f>IF('11. Water - Capex Input'!$I15=F$3,'11. Water - Capex Input'!$J15,0)</f>
        <v>0</v>
      </c>
      <c r="G589" s="30">
        <f>IF('11. Water - Capex Input'!$I15=G$3,'11. Water - Capex Input'!$J15,0)</f>
        <v>0</v>
      </c>
      <c r="H589" s="30">
        <f>IF('11. Water - Capex Input'!$I15=H$3,'11. Water - Capex Input'!$J15,0)</f>
        <v>11882775.912899405</v>
      </c>
    </row>
    <row r="590" spans="2:8">
      <c r="B590" s="152">
        <f t="shared" si="202"/>
        <v>0</v>
      </c>
      <c r="D590" s="30">
        <f>IF('11. Water - Capex Input'!$I16=D$3,'11. Water - Capex Input'!$J16,0)</f>
        <v>482376.97000000009</v>
      </c>
      <c r="E590" s="30">
        <f>IF('11. Water - Capex Input'!$I16=E$3,'11. Water - Capex Input'!$J16,0)</f>
        <v>0</v>
      </c>
      <c r="F590" s="30">
        <f>IF('11. Water - Capex Input'!$I16=F$3,'11. Water - Capex Input'!$J16,0)</f>
        <v>0</v>
      </c>
      <c r="G590" s="30">
        <f>IF('11. Water - Capex Input'!$I16=G$3,'11. Water - Capex Input'!$J16,0)</f>
        <v>0</v>
      </c>
      <c r="H590" s="30">
        <f>IF('11. Water - Capex Input'!$I16=H$3,'11. Water - Capex Input'!$J16,0)</f>
        <v>0</v>
      </c>
    </row>
    <row r="591" spans="2:8">
      <c r="B591" s="152">
        <f t="shared" si="202"/>
        <v>0</v>
      </c>
      <c r="D591" s="30">
        <f>IF('11. Water - Capex Input'!$I17=D$3,'11. Water - Capex Input'!$J17,0)</f>
        <v>0</v>
      </c>
      <c r="E591" s="30">
        <f>IF('11. Water - Capex Input'!$I17=E$3,'11. Water - Capex Input'!$J17,0)</f>
        <v>411071.86</v>
      </c>
      <c r="F591" s="30">
        <f>IF('11. Water - Capex Input'!$I17=F$3,'11. Water - Capex Input'!$J17,0)</f>
        <v>0</v>
      </c>
      <c r="G591" s="30">
        <f>IF('11. Water - Capex Input'!$I17=G$3,'11. Water - Capex Input'!$J17,0)</f>
        <v>0</v>
      </c>
      <c r="H591" s="30">
        <f>IF('11. Water - Capex Input'!$I17=H$3,'11. Water - Capex Input'!$J17,0)</f>
        <v>0</v>
      </c>
    </row>
    <row r="592" spans="2:8">
      <c r="B592" s="152">
        <f t="shared" si="202"/>
        <v>0</v>
      </c>
      <c r="D592" s="30">
        <f>IF('11. Water - Capex Input'!$I18=D$3,'11. Water - Capex Input'!$J18,0)</f>
        <v>0</v>
      </c>
      <c r="E592" s="30">
        <f>IF('11. Water - Capex Input'!$I18=E$3,'11. Water - Capex Input'!$J18,0)</f>
        <v>0</v>
      </c>
      <c r="F592" s="30">
        <f>IF('11. Water - Capex Input'!$I18=F$3,'11. Water - Capex Input'!$J18,0)</f>
        <v>2970694</v>
      </c>
      <c r="G592" s="30">
        <f>IF('11. Water - Capex Input'!$I18=G$3,'11. Water - Capex Input'!$J18,0)</f>
        <v>0</v>
      </c>
      <c r="H592" s="30">
        <f>IF('11. Water - Capex Input'!$I18=H$3,'11. Water - Capex Input'!$J18,0)</f>
        <v>0</v>
      </c>
    </row>
    <row r="593" spans="2:8">
      <c r="B593" s="152">
        <f t="shared" si="202"/>
        <v>0</v>
      </c>
      <c r="D593" s="30">
        <f>IF('11. Water - Capex Input'!$I19=D$3,'11. Water - Capex Input'!$J19,0)</f>
        <v>0</v>
      </c>
      <c r="E593" s="30">
        <f>IF('11. Water - Capex Input'!$I19=E$3,'11. Water - Capex Input'!$J19,0)</f>
        <v>0</v>
      </c>
      <c r="F593" s="30">
        <f>IF('11. Water - Capex Input'!$I19=F$3,'11. Water - Capex Input'!$J19,0)</f>
        <v>0</v>
      </c>
      <c r="G593" s="30">
        <f>IF('11. Water - Capex Input'!$I19=G$3,'11. Water - Capex Input'!$J19,0)</f>
        <v>3054266</v>
      </c>
      <c r="H593" s="30">
        <f>IF('11. Water - Capex Input'!$I19=H$3,'11. Water - Capex Input'!$J19,0)</f>
        <v>0</v>
      </c>
    </row>
    <row r="594" spans="2:8">
      <c r="B594" s="152">
        <f t="shared" si="202"/>
        <v>0</v>
      </c>
      <c r="D594" s="30">
        <f>IF('11. Water - Capex Input'!$I20=D$3,'11. Water - Capex Input'!$J20,0)</f>
        <v>0</v>
      </c>
      <c r="E594" s="30">
        <f>IF('11. Water - Capex Input'!$I20=E$3,'11. Water - Capex Input'!$J20,0)</f>
        <v>0</v>
      </c>
      <c r="F594" s="30">
        <f>IF('11. Water - Capex Input'!$I20=F$3,'11. Water - Capex Input'!$J20,0)</f>
        <v>0</v>
      </c>
      <c r="G594" s="30">
        <f>IF('11. Water - Capex Input'!$I20=G$3,'11. Water - Capex Input'!$J20,0)</f>
        <v>0</v>
      </c>
      <c r="H594" s="30">
        <f>IF('11. Water - Capex Input'!$I20=H$3,'11. Water - Capex Input'!$J20,0)</f>
        <v>3143269</v>
      </c>
    </row>
    <row r="595" spans="2:8">
      <c r="B595" s="152">
        <f t="shared" si="202"/>
        <v>0</v>
      </c>
      <c r="D595" s="30">
        <f>IF('11. Water - Capex Input'!$I21=D$3,'11. Water - Capex Input'!$J21,0)</f>
        <v>2512264.6</v>
      </c>
      <c r="E595" s="30">
        <f>IF('11. Water - Capex Input'!$I21=E$3,'11. Water - Capex Input'!$J21,0)</f>
        <v>0</v>
      </c>
      <c r="F595" s="30">
        <f>IF('11. Water - Capex Input'!$I21=F$3,'11. Water - Capex Input'!$J21,0)</f>
        <v>0</v>
      </c>
      <c r="G595" s="30">
        <f>IF('11. Water - Capex Input'!$I21=G$3,'11. Water - Capex Input'!$J21,0)</f>
        <v>0</v>
      </c>
      <c r="H595" s="30">
        <f>IF('11. Water - Capex Input'!$I21=H$3,'11. Water - Capex Input'!$J21,0)</f>
        <v>0</v>
      </c>
    </row>
    <row r="596" spans="2:8">
      <c r="B596" s="152">
        <f t="shared" si="202"/>
        <v>0</v>
      </c>
      <c r="D596" s="30">
        <f>IF('11. Water - Capex Input'!$I22=D$3,'11. Water - Capex Input'!$J22,0)</f>
        <v>0</v>
      </c>
      <c r="E596" s="30">
        <f>IF('11. Water - Capex Input'!$I22=E$3,'11. Water - Capex Input'!$J22,0)</f>
        <v>5316189.1900000004</v>
      </c>
      <c r="F596" s="30">
        <f>IF('11. Water - Capex Input'!$I22=F$3,'11. Water - Capex Input'!$J22,0)</f>
        <v>0</v>
      </c>
      <c r="G596" s="30">
        <f>IF('11. Water - Capex Input'!$I22=G$3,'11. Water - Capex Input'!$J22,0)</f>
        <v>0</v>
      </c>
      <c r="H596" s="30">
        <f>IF('11. Water - Capex Input'!$I22=H$3,'11. Water - Capex Input'!$J22,0)</f>
        <v>0</v>
      </c>
    </row>
    <row r="597" spans="2:8">
      <c r="B597" s="152">
        <f t="shared" si="202"/>
        <v>0</v>
      </c>
      <c r="D597" s="30">
        <f>IF('11. Water - Capex Input'!$I23=D$3,'11. Water - Capex Input'!$J23,0)</f>
        <v>0</v>
      </c>
      <c r="E597" s="30">
        <f>IF('11. Water - Capex Input'!$I23=E$3,'11. Water - Capex Input'!$J23,0)</f>
        <v>0</v>
      </c>
      <c r="F597" s="30">
        <f>IF('11. Water - Capex Input'!$I23=F$3,'11. Water - Capex Input'!$J23,0)</f>
        <v>1369073.8099999996</v>
      </c>
      <c r="G597" s="30">
        <f>IF('11. Water - Capex Input'!$I23=G$3,'11. Water - Capex Input'!$J23,0)</f>
        <v>0</v>
      </c>
      <c r="H597" s="30">
        <f>IF('11. Water - Capex Input'!$I23=H$3,'11. Water - Capex Input'!$J23,0)</f>
        <v>0</v>
      </c>
    </row>
    <row r="598" spans="2:8">
      <c r="B598" s="152">
        <f t="shared" si="202"/>
        <v>0</v>
      </c>
      <c r="D598" s="30">
        <f>IF('11. Water - Capex Input'!$I24=D$3,'11. Water - Capex Input'!$J24,0)</f>
        <v>0</v>
      </c>
      <c r="E598" s="30">
        <f>IF('11. Water - Capex Input'!$I24=E$3,'11. Water - Capex Input'!$J24,0)</f>
        <v>0</v>
      </c>
      <c r="F598" s="30">
        <f>IF('11. Water - Capex Input'!$I24=F$3,'11. Water - Capex Input'!$J24,0)</f>
        <v>1043693.7242113608</v>
      </c>
      <c r="G598" s="30">
        <f>IF('11. Water - Capex Input'!$I24=G$3,'11. Water - Capex Input'!$J24,0)</f>
        <v>0</v>
      </c>
      <c r="H598" s="30">
        <f>IF('11. Water - Capex Input'!$I24=H$3,'11. Water - Capex Input'!$J24,0)</f>
        <v>0</v>
      </c>
    </row>
    <row r="599" spans="2:8">
      <c r="B599" s="152">
        <f t="shared" si="202"/>
        <v>0</v>
      </c>
      <c r="D599" s="30">
        <f>IF('11. Water - Capex Input'!$I25=D$3,'11. Water - Capex Input'!$J25,0)</f>
        <v>0</v>
      </c>
      <c r="E599" s="30">
        <f>IF('11. Water - Capex Input'!$I25=E$3,'11. Water - Capex Input'!$J25,0)</f>
        <v>0</v>
      </c>
      <c r="F599" s="30">
        <f>IF('11. Water - Capex Input'!$I25=F$3,'11. Water - Capex Input'!$J25,0)</f>
        <v>0</v>
      </c>
      <c r="G599" s="30">
        <f>IF('11. Water - Capex Input'!$I25=G$3,'11. Water - Capex Input'!$J25,0)</f>
        <v>3212570.2053311393</v>
      </c>
      <c r="H599" s="30">
        <f>IF('11. Water - Capex Input'!$I25=H$3,'11. Water - Capex Input'!$J25,0)</f>
        <v>0</v>
      </c>
    </row>
    <row r="600" spans="2:8">
      <c r="B600" s="152">
        <f t="shared" si="202"/>
        <v>0</v>
      </c>
      <c r="D600" s="30">
        <f>IF('11. Water - Capex Input'!$I26=D$3,'11. Water - Capex Input'!$J26,0)</f>
        <v>0</v>
      </c>
      <c r="E600" s="30">
        <f>IF('11. Water - Capex Input'!$I26=E$3,'11. Water - Capex Input'!$J26,0)</f>
        <v>0</v>
      </c>
      <c r="F600" s="30">
        <f>IF('11. Water - Capex Input'!$I26=F$3,'11. Water - Capex Input'!$J26,0)</f>
        <v>0</v>
      </c>
      <c r="G600" s="30">
        <f>IF('11. Water - Capex Input'!$I26=G$3,'11. Water - Capex Input'!$J26,0)</f>
        <v>0</v>
      </c>
      <c r="H600" s="30">
        <f>IF('11. Water - Capex Input'!$I26=H$3,'11. Water - Capex Input'!$J26,0)</f>
        <v>4321009.4228725107</v>
      </c>
    </row>
    <row r="601" spans="2:8">
      <c r="B601" s="152">
        <f t="shared" si="202"/>
        <v>0</v>
      </c>
      <c r="D601" s="30">
        <f>IF('11. Water - Capex Input'!$I27=D$3,'11. Water - Capex Input'!$J27,0)</f>
        <v>0</v>
      </c>
      <c r="E601" s="30">
        <f>IF('11. Water - Capex Input'!$I27=E$3,'11. Water - Capex Input'!$J27,0)</f>
        <v>283901</v>
      </c>
      <c r="F601" s="30">
        <f>IF('11. Water - Capex Input'!$I27=F$3,'11. Water - Capex Input'!$J27,0)</f>
        <v>0</v>
      </c>
      <c r="G601" s="30">
        <f>IF('11. Water - Capex Input'!$I27=G$3,'11. Water - Capex Input'!$J27,0)</f>
        <v>0</v>
      </c>
      <c r="H601" s="30">
        <f>IF('11. Water - Capex Input'!$I27=H$3,'11. Water - Capex Input'!$J27,0)</f>
        <v>0</v>
      </c>
    </row>
    <row r="602" spans="2:8">
      <c r="B602" s="152">
        <f t="shared" si="202"/>
        <v>0</v>
      </c>
      <c r="D602" s="30">
        <f>IF('11. Water - Capex Input'!$I28=D$3,'11. Water - Capex Input'!$J28,0)</f>
        <v>0</v>
      </c>
      <c r="E602" s="30">
        <f>IF('11. Water - Capex Input'!$I28=E$3,'11. Water - Capex Input'!$J28,0)</f>
        <v>0</v>
      </c>
      <c r="F602" s="30">
        <f>IF('11. Water - Capex Input'!$I28=F$3,'11. Water - Capex Input'!$J28,0)</f>
        <v>459863</v>
      </c>
      <c r="G602" s="30">
        <f>IF('11. Water - Capex Input'!$I28=G$3,'11. Water - Capex Input'!$J28,0)</f>
        <v>0</v>
      </c>
      <c r="H602" s="30">
        <f>IF('11. Water - Capex Input'!$I28=H$3,'11. Water - Capex Input'!$J28,0)</f>
        <v>0</v>
      </c>
    </row>
    <row r="603" spans="2:8">
      <c r="B603" s="152">
        <f t="shared" si="202"/>
        <v>0</v>
      </c>
      <c r="D603" s="30">
        <f>IF('11. Water - Capex Input'!$I29=D$3,'11. Water - Capex Input'!$J29,0)</f>
        <v>0</v>
      </c>
      <c r="E603" s="30">
        <f>IF('11. Water - Capex Input'!$I29=E$3,'11. Water - Capex Input'!$J29,0)</f>
        <v>0</v>
      </c>
      <c r="F603" s="30">
        <f>IF('11. Water - Capex Input'!$I29=F$3,'11. Water - Capex Input'!$J29,0)</f>
        <v>0</v>
      </c>
      <c r="G603" s="30">
        <f>IF('11. Water - Capex Input'!$I29=G$3,'11. Water - Capex Input'!$J29,0)</f>
        <v>3331926</v>
      </c>
      <c r="H603" s="30">
        <f>IF('11. Water - Capex Input'!$I29=H$3,'11. Water - Capex Input'!$J29,0)</f>
        <v>0</v>
      </c>
    </row>
    <row r="604" spans="2:8">
      <c r="B604" s="152">
        <f t="shared" si="202"/>
        <v>0</v>
      </c>
      <c r="D604" s="30">
        <f>IF('11. Water - Capex Input'!$I30=D$3,'11. Water - Capex Input'!$J30,0)</f>
        <v>0</v>
      </c>
      <c r="E604" s="30">
        <f>IF('11. Water - Capex Input'!$I30=E$3,'11. Water - Capex Input'!$J30,0)</f>
        <v>0</v>
      </c>
      <c r="F604" s="30">
        <f>IF('11. Water - Capex Input'!$I30=F$3,'11. Water - Capex Input'!$J30,0)</f>
        <v>0</v>
      </c>
      <c r="G604" s="30">
        <f>IF('11. Water - Capex Input'!$I30=G$3,'11. Water - Capex Input'!$J30,0)</f>
        <v>0</v>
      </c>
      <c r="H604" s="30">
        <f>IF('11. Water - Capex Input'!$I30=H$3,'11. Water - Capex Input'!$J30,0)</f>
        <v>3429021</v>
      </c>
    </row>
    <row r="605" spans="2:8">
      <c r="B605" s="152">
        <f t="shared" si="202"/>
        <v>0</v>
      </c>
      <c r="D605" s="30">
        <f>IF('11. Water - Capex Input'!$I31=D$3,'11. Water - Capex Input'!$J31,0)</f>
        <v>0</v>
      </c>
      <c r="E605" s="30">
        <f>IF('11. Water - Capex Input'!$I31=E$3,'11. Water - Capex Input'!$J31,0)</f>
        <v>0</v>
      </c>
      <c r="F605" s="30">
        <f>IF('11. Water - Capex Input'!$I31=F$3,'11. Water - Capex Input'!$J31,0)</f>
        <v>3146998</v>
      </c>
      <c r="G605" s="30">
        <f>IF('11. Water - Capex Input'!$I31=G$3,'11. Water - Capex Input'!$J31,0)</f>
        <v>0</v>
      </c>
      <c r="H605" s="30">
        <f>IF('11. Water - Capex Input'!$I31=H$3,'11. Water - Capex Input'!$J31,0)</f>
        <v>0</v>
      </c>
    </row>
    <row r="606" spans="2:8">
      <c r="B606" s="152">
        <f t="shared" si="202"/>
        <v>0</v>
      </c>
      <c r="D606" s="30">
        <f>IF('11. Water - Capex Input'!$I32=D$3,'11. Water - Capex Input'!$J32,0)</f>
        <v>0</v>
      </c>
      <c r="E606" s="30">
        <f>IF('11. Water - Capex Input'!$I32=E$3,'11. Water - Capex Input'!$J32,0)</f>
        <v>0</v>
      </c>
      <c r="F606" s="30">
        <f>IF('11. Water - Capex Input'!$I32=F$3,'11. Water - Capex Input'!$J32,0)</f>
        <v>0</v>
      </c>
      <c r="G606" s="30">
        <f>IF('11. Water - Capex Input'!$I32=G$3,'11. Water - Capex Input'!$J32,0)</f>
        <v>2751190</v>
      </c>
      <c r="H606" s="30">
        <f>IF('11. Water - Capex Input'!$I32=H$3,'11. Water - Capex Input'!$J32,0)</f>
        <v>0</v>
      </c>
    </row>
    <row r="607" spans="2:8">
      <c r="B607" s="152">
        <f t="shared" si="202"/>
        <v>0</v>
      </c>
      <c r="D607" s="30">
        <f>IF('11. Water - Capex Input'!$I33=D$3,'11. Water - Capex Input'!$J33,0)</f>
        <v>0</v>
      </c>
      <c r="E607" s="30">
        <f>IF('11. Water - Capex Input'!$I33=E$3,'11. Water - Capex Input'!$J33,0)</f>
        <v>0</v>
      </c>
      <c r="F607" s="30">
        <f>IF('11. Water - Capex Input'!$I33=F$3,'11. Water - Capex Input'!$J33,0)</f>
        <v>0</v>
      </c>
      <c r="G607" s="30">
        <f>IF('11. Water - Capex Input'!$I33=G$3,'11. Water - Capex Input'!$J33,0)</f>
        <v>0</v>
      </c>
      <c r="H607" s="30">
        <f>IF('11. Water - Capex Input'!$I33=H$3,'11. Water - Capex Input'!$J33,0)</f>
        <v>1301076</v>
      </c>
    </row>
    <row r="608" spans="2:8">
      <c r="B608" s="152">
        <f t="shared" si="202"/>
        <v>0</v>
      </c>
      <c r="D608" s="30">
        <f>IF('11. Water - Capex Input'!$I34=D$3,'11. Water - Capex Input'!$J34,0)</f>
        <v>0</v>
      </c>
      <c r="E608" s="30">
        <f>IF('11. Water - Capex Input'!$I34=E$3,'11. Water - Capex Input'!$J34,0)</f>
        <v>200000</v>
      </c>
      <c r="F608" s="30">
        <f>IF('11. Water - Capex Input'!$I34=F$3,'11. Water - Capex Input'!$J34,0)</f>
        <v>0</v>
      </c>
      <c r="G608" s="30">
        <f>IF('11. Water - Capex Input'!$I34=G$3,'11. Water - Capex Input'!$J34,0)</f>
        <v>0</v>
      </c>
      <c r="H608" s="30">
        <f>IF('11. Water - Capex Input'!$I34=H$3,'11. Water - Capex Input'!$J34,0)</f>
        <v>0</v>
      </c>
    </row>
    <row r="609" spans="2:8">
      <c r="B609" s="152">
        <f t="shared" si="202"/>
        <v>0</v>
      </c>
      <c r="D609" s="30">
        <f>IF('11. Water - Capex Input'!$I35=D$3,'11. Water - Capex Input'!$J35,0)</f>
        <v>0</v>
      </c>
      <c r="E609" s="30">
        <f>IF('11. Water - Capex Input'!$I35=E$3,'11. Water - Capex Input'!$J35,0)</f>
        <v>0</v>
      </c>
      <c r="F609" s="30">
        <f>IF('11. Water - Capex Input'!$I35=F$3,'11. Water - Capex Input'!$J35,0)</f>
        <v>610189</v>
      </c>
      <c r="G609" s="30">
        <f>IF('11. Water - Capex Input'!$I35=G$3,'11. Water - Capex Input'!$J35,0)</f>
        <v>0</v>
      </c>
      <c r="H609" s="30">
        <f>IF('11. Water - Capex Input'!$I35=H$3,'11. Water - Capex Input'!$J35,0)</f>
        <v>0</v>
      </c>
    </row>
    <row r="610" spans="2:8">
      <c r="B610" s="152">
        <f t="shared" si="202"/>
        <v>0</v>
      </c>
      <c r="D610" s="30">
        <f>IF('11. Water - Capex Input'!$I36=D$3,'11. Water - Capex Input'!$J36,0)</f>
        <v>0</v>
      </c>
      <c r="E610" s="30">
        <f>IF('11. Water - Capex Input'!$I36=E$3,'11. Water - Capex Input'!$J36,0)</f>
        <v>0</v>
      </c>
      <c r="F610" s="30">
        <f>IF('11. Water - Capex Input'!$I36=F$3,'11. Water - Capex Input'!$J36,0)</f>
        <v>0</v>
      </c>
      <c r="G610" s="30">
        <f>IF('11. Water - Capex Input'!$I36=G$3,'11. Water - Capex Input'!$J36,0)</f>
        <v>2385104</v>
      </c>
      <c r="H610" s="30">
        <f>IF('11. Water - Capex Input'!$I36=H$3,'11. Water - Capex Input'!$J36,0)</f>
        <v>0</v>
      </c>
    </row>
    <row r="611" spans="2:8">
      <c r="B611" s="152">
        <f t="shared" ref="B611:B642" si="203">B425</f>
        <v>0</v>
      </c>
      <c r="D611" s="30">
        <f>IF('11. Water - Capex Input'!$I37=D$3,'11. Water - Capex Input'!$J37,0)</f>
        <v>0</v>
      </c>
      <c r="E611" s="30">
        <f>IF('11. Water - Capex Input'!$I37=E$3,'11. Water - Capex Input'!$J37,0)</f>
        <v>0</v>
      </c>
      <c r="F611" s="30">
        <f>IF('11. Water - Capex Input'!$I37=F$3,'11. Water - Capex Input'!$J37,0)</f>
        <v>0</v>
      </c>
      <c r="G611" s="30">
        <f>IF('11. Water - Capex Input'!$I37=G$3,'11. Water - Capex Input'!$J37,0)</f>
        <v>0</v>
      </c>
      <c r="H611" s="30">
        <f>IF('11. Water - Capex Input'!$I37=H$3,'11. Water - Capex Input'!$J37,0)</f>
        <v>3429021</v>
      </c>
    </row>
    <row r="612" spans="2:8">
      <c r="B612" s="152">
        <f t="shared" si="203"/>
        <v>0</v>
      </c>
      <c r="D612" s="30">
        <f>IF('11. Water - Capex Input'!$I38=D$3,'11. Water - Capex Input'!$J38,0)</f>
        <v>5388467.1299999999</v>
      </c>
      <c r="E612" s="30">
        <f>IF('11. Water - Capex Input'!$I38=E$3,'11. Water - Capex Input'!$J38,0)</f>
        <v>0</v>
      </c>
      <c r="F612" s="30">
        <f>IF('11. Water - Capex Input'!$I38=F$3,'11. Water - Capex Input'!$J38,0)</f>
        <v>0</v>
      </c>
      <c r="G612" s="30">
        <f>IF('11. Water - Capex Input'!$I38=G$3,'11. Water - Capex Input'!$J38,0)</f>
        <v>0</v>
      </c>
      <c r="H612" s="30">
        <f>IF('11. Water - Capex Input'!$I38=H$3,'11. Water - Capex Input'!$J38,0)</f>
        <v>0</v>
      </c>
    </row>
    <row r="613" spans="2:8">
      <c r="B613" s="152">
        <f t="shared" si="203"/>
        <v>0</v>
      </c>
      <c r="D613" s="30">
        <f>IF('11. Water - Capex Input'!$I39=D$3,'11. Water - Capex Input'!$J39,0)</f>
        <v>0</v>
      </c>
      <c r="E613" s="30">
        <f>IF('11. Water - Capex Input'!$I39=E$3,'11. Water - Capex Input'!$J39,0)</f>
        <v>848650.10000000009</v>
      </c>
      <c r="F613" s="30">
        <f>IF('11. Water - Capex Input'!$I39=F$3,'11. Water - Capex Input'!$J39,0)</f>
        <v>0</v>
      </c>
      <c r="G613" s="30">
        <f>IF('11. Water - Capex Input'!$I39=G$3,'11. Water - Capex Input'!$J39,0)</f>
        <v>0</v>
      </c>
      <c r="H613" s="30">
        <f>IF('11. Water - Capex Input'!$I39=H$3,'11. Water - Capex Input'!$J39,0)</f>
        <v>0</v>
      </c>
    </row>
    <row r="614" spans="2:8">
      <c r="B614" s="152">
        <f t="shared" si="203"/>
        <v>0</v>
      </c>
      <c r="D614" s="30">
        <f>IF('11. Water - Capex Input'!$I40=D$3,'11. Water - Capex Input'!$J40,0)</f>
        <v>6024542.1400000006</v>
      </c>
      <c r="E614" s="30">
        <f>IF('11. Water - Capex Input'!$I40=E$3,'11. Water - Capex Input'!$J40,0)</f>
        <v>0</v>
      </c>
      <c r="F614" s="30">
        <f>IF('11. Water - Capex Input'!$I40=F$3,'11. Water - Capex Input'!$J40,0)</f>
        <v>0</v>
      </c>
      <c r="G614" s="30">
        <f>IF('11. Water - Capex Input'!$I40=G$3,'11. Water - Capex Input'!$J40,0)</f>
        <v>0</v>
      </c>
      <c r="H614" s="30">
        <f>IF('11. Water - Capex Input'!$I40=H$3,'11. Water - Capex Input'!$J40,0)</f>
        <v>0</v>
      </c>
    </row>
    <row r="615" spans="2:8">
      <c r="B615" s="152">
        <f t="shared" si="203"/>
        <v>0</v>
      </c>
      <c r="D615" s="30">
        <f>IF('11. Water - Capex Input'!$I41=D$3,'11. Water - Capex Input'!$J41,0)</f>
        <v>0</v>
      </c>
      <c r="E615" s="30">
        <f>IF('11. Water - Capex Input'!$I41=E$3,'11. Water - Capex Input'!$J41,0)</f>
        <v>175516.63999999996</v>
      </c>
      <c r="F615" s="30">
        <f>IF('11. Water - Capex Input'!$I41=F$3,'11. Water - Capex Input'!$J41,0)</f>
        <v>0</v>
      </c>
      <c r="G615" s="30">
        <f>IF('11. Water - Capex Input'!$I41=G$3,'11. Water - Capex Input'!$J41,0)</f>
        <v>0</v>
      </c>
      <c r="H615" s="30">
        <f>IF('11. Water - Capex Input'!$I41=H$3,'11. Water - Capex Input'!$J41,0)</f>
        <v>0</v>
      </c>
    </row>
    <row r="616" spans="2:8">
      <c r="B616" s="152">
        <f t="shared" si="203"/>
        <v>0</v>
      </c>
      <c r="D616" s="30">
        <f>IF('11. Water - Capex Input'!$I42=D$3,'11. Water - Capex Input'!$J42,0)</f>
        <v>0</v>
      </c>
      <c r="E616" s="30">
        <f>IF('11. Water - Capex Input'!$I42=E$3,'11. Water - Capex Input'!$J42,0)</f>
        <v>0</v>
      </c>
      <c r="F616" s="30">
        <f>IF('11. Water - Capex Input'!$I42=F$3,'11. Water - Capex Input'!$J42,0)</f>
        <v>0</v>
      </c>
      <c r="G616" s="30">
        <f>IF('11. Water - Capex Input'!$I42=G$3,'11. Water - Capex Input'!$J42,0)</f>
        <v>1110642</v>
      </c>
      <c r="H616" s="30">
        <f>IF('11. Water - Capex Input'!$I42=H$3,'11. Water - Capex Input'!$J42,0)</f>
        <v>0</v>
      </c>
    </row>
    <row r="617" spans="2:8">
      <c r="B617" s="152">
        <f t="shared" si="203"/>
        <v>0</v>
      </c>
      <c r="D617" s="30">
        <f>IF('11. Water - Capex Input'!$I43=D$3,'11. Water - Capex Input'!$J43,0)</f>
        <v>0</v>
      </c>
      <c r="E617" s="30">
        <f>IF('11. Water - Capex Input'!$I43=E$3,'11. Water - Capex Input'!$J43,0)</f>
        <v>0</v>
      </c>
      <c r="F617" s="30">
        <f>IF('11. Water - Capex Input'!$I43=F$3,'11. Water - Capex Input'!$J43,0)</f>
        <v>0</v>
      </c>
      <c r="G617" s="30">
        <f>IF('11. Water - Capex Input'!$I43=G$3,'11. Water - Capex Input'!$J43,0)</f>
        <v>0</v>
      </c>
      <c r="H617" s="30">
        <f>IF('11. Water - Capex Input'!$I43=H$3,'11. Water - Capex Input'!$J43,0)</f>
        <v>4614891</v>
      </c>
    </row>
    <row r="618" spans="2:8">
      <c r="B618" s="152">
        <f t="shared" si="203"/>
        <v>0</v>
      </c>
      <c r="D618" s="30">
        <f>IF('11. Water - Capex Input'!$I44=D$3,'11. Water - Capex Input'!$J44,0)</f>
        <v>0</v>
      </c>
      <c r="E618" s="30">
        <f>IF('11. Water - Capex Input'!$I44=E$3,'11. Water - Capex Input'!$J44,0)</f>
        <v>0</v>
      </c>
      <c r="F618" s="30">
        <f>IF('11. Water - Capex Input'!$I44=F$3,'11. Water - Capex Input'!$J44,0)</f>
        <v>535428.36755518988</v>
      </c>
      <c r="G618" s="30">
        <f>IF('11. Water - Capex Input'!$I44=G$3,'11. Water - Capex Input'!$J44,0)</f>
        <v>0</v>
      </c>
      <c r="H618" s="30">
        <f>IF('11. Water - Capex Input'!$I44=H$3,'11. Water - Capex Input'!$J44,0)</f>
        <v>0</v>
      </c>
    </row>
    <row r="619" spans="2:8">
      <c r="B619" s="152">
        <f t="shared" si="203"/>
        <v>0</v>
      </c>
      <c r="D619" s="30">
        <f>IF('11. Water - Capex Input'!$I45=D$3,'11. Water - Capex Input'!$J45,0)</f>
        <v>0</v>
      </c>
      <c r="E619" s="30">
        <f>IF('11. Water - Capex Input'!$I45=E$3,'11. Water - Capex Input'!$J45,0)</f>
        <v>0</v>
      </c>
      <c r="F619" s="30">
        <f>IF('11. Water - Capex Input'!$I45=F$3,'11. Water - Capex Input'!$J45,0)</f>
        <v>0</v>
      </c>
      <c r="G619" s="30">
        <f>IF('11. Water - Capex Input'!$I45=G$3,'11. Water - Capex Input'!$J45,0)</f>
        <v>2348084.0514925742</v>
      </c>
      <c r="H619" s="30">
        <f>IF('11. Water - Capex Input'!$I45=H$3,'11. Water - Capex Input'!$J45,0)</f>
        <v>0</v>
      </c>
    </row>
    <row r="620" spans="2:8">
      <c r="B620" s="152">
        <f t="shared" si="203"/>
        <v>0</v>
      </c>
      <c r="D620" s="30">
        <f>IF('11. Water - Capex Input'!$I46=D$3,'11. Water - Capex Input'!$J46,0)</f>
        <v>0</v>
      </c>
      <c r="E620" s="30">
        <f>IF('11. Water - Capex Input'!$I46=E$3,'11. Water - Capex Input'!$J46,0)</f>
        <v>0</v>
      </c>
      <c r="F620" s="30">
        <f>IF('11. Water - Capex Input'!$I46=F$3,'11. Water - Capex Input'!$J46,0)</f>
        <v>0</v>
      </c>
      <c r="G620" s="30">
        <f>IF('11. Water - Capex Input'!$I46=G$3,'11. Water - Capex Input'!$J46,0)</f>
        <v>0</v>
      </c>
      <c r="H620" s="30">
        <f>IF('11. Water - Capex Input'!$I46=H$3,'11. Water - Capex Input'!$J46,0)</f>
        <v>2414140.5333917825</v>
      </c>
    </row>
    <row r="621" spans="2:8">
      <c r="B621" s="152">
        <f t="shared" si="203"/>
        <v>0</v>
      </c>
      <c r="D621" s="30">
        <f>IF('11. Water - Capex Input'!$I47=D$3,'11. Water - Capex Input'!$J47,0)</f>
        <v>562930.1100000001</v>
      </c>
      <c r="E621" s="30">
        <f>IF('11. Water - Capex Input'!$I47=E$3,'11. Water - Capex Input'!$J47,0)</f>
        <v>0</v>
      </c>
      <c r="F621" s="30">
        <f>IF('11. Water - Capex Input'!$I47=F$3,'11. Water - Capex Input'!$J47,0)</f>
        <v>0</v>
      </c>
      <c r="G621" s="30">
        <f>IF('11. Water - Capex Input'!$I47=G$3,'11. Water - Capex Input'!$J47,0)</f>
        <v>0</v>
      </c>
      <c r="H621" s="30">
        <f>IF('11. Water - Capex Input'!$I47=H$3,'11. Water - Capex Input'!$J47,0)</f>
        <v>0</v>
      </c>
    </row>
    <row r="622" spans="2:8">
      <c r="B622" s="152">
        <f t="shared" si="203"/>
        <v>0</v>
      </c>
      <c r="D622" s="30">
        <f>IF('11. Water - Capex Input'!$I48=D$3,'11. Water - Capex Input'!$J48,0)</f>
        <v>0</v>
      </c>
      <c r="E622" s="30">
        <f>IF('11. Water - Capex Input'!$I48=E$3,'11. Water - Capex Input'!$J48,0)</f>
        <v>2565346.34</v>
      </c>
      <c r="F622" s="30">
        <f>IF('11. Water - Capex Input'!$I48=F$3,'11. Water - Capex Input'!$J48,0)</f>
        <v>0</v>
      </c>
      <c r="G622" s="30">
        <f>IF('11. Water - Capex Input'!$I48=G$3,'11. Water - Capex Input'!$J48,0)</f>
        <v>0</v>
      </c>
      <c r="H622" s="30">
        <f>IF('11. Water - Capex Input'!$I48=H$3,'11. Water - Capex Input'!$J48,0)</f>
        <v>0</v>
      </c>
    </row>
    <row r="623" spans="2:8">
      <c r="B623" s="152">
        <f t="shared" si="203"/>
        <v>0</v>
      </c>
      <c r="D623" s="30">
        <f>IF('11. Water - Capex Input'!$I49=D$3,'11. Water - Capex Input'!$J49,0)</f>
        <v>0</v>
      </c>
      <c r="E623" s="30">
        <f>IF('11. Water - Capex Input'!$I49=E$3,'11. Water - Capex Input'!$J49,0)</f>
        <v>0</v>
      </c>
      <c r="F623" s="30">
        <f>IF('11. Water - Capex Input'!$I49=F$3,'11. Water - Capex Input'!$J49,0)</f>
        <v>2010500</v>
      </c>
      <c r="G623" s="30">
        <f>IF('11. Water - Capex Input'!$I49=G$3,'11. Water - Capex Input'!$J49,0)</f>
        <v>0</v>
      </c>
      <c r="H623" s="30">
        <f>IF('11. Water - Capex Input'!$I49=H$3,'11. Water - Capex Input'!$J49,0)</f>
        <v>0</v>
      </c>
    </row>
    <row r="624" spans="2:8">
      <c r="B624" s="152">
        <f t="shared" si="203"/>
        <v>0</v>
      </c>
      <c r="D624" s="30">
        <f>IF('11. Water - Capex Input'!$I50=D$3,'11. Water - Capex Input'!$J50,0)</f>
        <v>0</v>
      </c>
      <c r="E624" s="30">
        <f>IF('11. Water - Capex Input'!$I50=E$3,'11. Water - Capex Input'!$J50,0)</f>
        <v>200000</v>
      </c>
      <c r="F624" s="30">
        <f>IF('11. Water - Capex Input'!$I50=F$3,'11. Water - Capex Input'!$J50,0)</f>
        <v>0</v>
      </c>
      <c r="G624" s="30">
        <f>IF('11. Water - Capex Input'!$I50=G$3,'11. Water - Capex Input'!$J50,0)</f>
        <v>0</v>
      </c>
      <c r="H624" s="30">
        <f>IF('11. Water - Capex Input'!$I50=H$3,'11. Water - Capex Input'!$J50,0)</f>
        <v>0</v>
      </c>
    </row>
    <row r="625" spans="2:8">
      <c r="B625" s="152">
        <f t="shared" si="203"/>
        <v>0</v>
      </c>
      <c r="D625" s="30">
        <f>IF('11. Water - Capex Input'!$I51=D$3,'11. Water - Capex Input'!$J51,0)</f>
        <v>0</v>
      </c>
      <c r="E625" s="30">
        <f>IF('11. Water - Capex Input'!$I51=E$3,'11. Water - Capex Input'!$J51,0)</f>
        <v>0</v>
      </c>
      <c r="F625" s="30">
        <f>IF('11. Water - Capex Input'!$I51=F$3,'11. Water - Capex Input'!$J51,0)</f>
        <v>2350581</v>
      </c>
      <c r="G625" s="30">
        <f>IF('11. Water - Capex Input'!$I51=G$3,'11. Water - Capex Input'!$J51,0)</f>
        <v>0</v>
      </c>
      <c r="H625" s="30">
        <f>IF('11. Water - Capex Input'!$I51=H$3,'11. Water - Capex Input'!$J51,0)</f>
        <v>0</v>
      </c>
    </row>
    <row r="626" spans="2:8">
      <c r="B626" s="152">
        <f t="shared" si="203"/>
        <v>0</v>
      </c>
      <c r="D626" s="30">
        <f>IF('11. Water - Capex Input'!$I52=D$3,'11. Water - Capex Input'!$J52,0)</f>
        <v>0</v>
      </c>
      <c r="E626" s="30">
        <f>IF('11. Water - Capex Input'!$I52=E$3,'11. Water - Capex Input'!$J52,0)</f>
        <v>0</v>
      </c>
      <c r="F626" s="30">
        <f>IF('11. Water - Capex Input'!$I52=F$3,'11. Water - Capex Input'!$J52,0)</f>
        <v>0</v>
      </c>
      <c r="G626" s="30">
        <f>IF('11. Water - Capex Input'!$I52=G$3,'11. Water - Capex Input'!$J52,0)</f>
        <v>2180214</v>
      </c>
      <c r="H626" s="30">
        <f>IF('11. Water - Capex Input'!$I52=H$3,'11. Water - Capex Input'!$J52,0)</f>
        <v>0</v>
      </c>
    </row>
    <row r="627" spans="2:8">
      <c r="B627" s="152">
        <f t="shared" si="203"/>
        <v>0</v>
      </c>
      <c r="D627" s="30">
        <f>IF('11. Water - Capex Input'!$I53=D$3,'11. Water - Capex Input'!$J53,0)</f>
        <v>0</v>
      </c>
      <c r="E627" s="30">
        <f>IF('11. Water - Capex Input'!$I53=E$3,'11. Water - Capex Input'!$J53,0)</f>
        <v>200000</v>
      </c>
      <c r="F627" s="30">
        <f>IF('11. Water - Capex Input'!$I53=F$3,'11. Water - Capex Input'!$J53,0)</f>
        <v>0</v>
      </c>
      <c r="G627" s="30">
        <f>IF('11. Water - Capex Input'!$I53=G$3,'11. Water - Capex Input'!$J53,0)</f>
        <v>0</v>
      </c>
      <c r="H627" s="30">
        <f>IF('11. Water - Capex Input'!$I53=H$3,'11. Water - Capex Input'!$J53,0)</f>
        <v>0</v>
      </c>
    </row>
    <row r="628" spans="2:8">
      <c r="B628" s="152">
        <f t="shared" si="203"/>
        <v>0</v>
      </c>
      <c r="D628" s="30">
        <f>IF('11. Water - Capex Input'!$I54=D$3,'11. Water - Capex Input'!$J54,0)</f>
        <v>0</v>
      </c>
      <c r="E628" s="30">
        <f>IF('11. Water - Capex Input'!$I54=E$3,'11. Water - Capex Input'!$J54,0)</f>
        <v>0</v>
      </c>
      <c r="F628" s="30">
        <f>IF('11. Water - Capex Input'!$I54=F$3,'11. Water - Capex Input'!$J54,0)</f>
        <v>2473506</v>
      </c>
      <c r="G628" s="30">
        <f>IF('11. Water - Capex Input'!$I54=G$3,'11. Water - Capex Input'!$J54,0)</f>
        <v>0</v>
      </c>
      <c r="H628" s="30">
        <f>IF('11. Water - Capex Input'!$I54=H$3,'11. Water - Capex Input'!$J54,0)</f>
        <v>0</v>
      </c>
    </row>
    <row r="629" spans="2:8">
      <c r="B629" s="152">
        <f t="shared" si="203"/>
        <v>0</v>
      </c>
      <c r="D629" s="30">
        <f>IF('11. Water - Capex Input'!$I55=D$3,'11. Water - Capex Input'!$J55,0)</f>
        <v>0</v>
      </c>
      <c r="E629" s="30">
        <f>IF('11. Water - Capex Input'!$I55=E$3,'11. Water - Capex Input'!$J55,0)</f>
        <v>0</v>
      </c>
      <c r="F629" s="30">
        <f>IF('11. Water - Capex Input'!$I55=F$3,'11. Water - Capex Input'!$J55,0)</f>
        <v>0</v>
      </c>
      <c r="G629" s="30">
        <f>IF('11. Water - Capex Input'!$I55=G$3,'11. Water - Capex Input'!$J55,0)</f>
        <v>1388303</v>
      </c>
      <c r="H629" s="30">
        <f>IF('11. Water - Capex Input'!$I55=H$3,'11. Water - Capex Input'!$J55,0)</f>
        <v>0</v>
      </c>
    </row>
    <row r="630" spans="2:8">
      <c r="B630" s="152">
        <f t="shared" si="203"/>
        <v>0</v>
      </c>
      <c r="D630" s="30">
        <f>IF('11. Water - Capex Input'!$I56=D$3,'11. Water - Capex Input'!$J56,0)</f>
        <v>0</v>
      </c>
      <c r="E630" s="30">
        <f>IF('11. Water - Capex Input'!$I56=E$3,'11. Water - Capex Input'!$J56,0)</f>
        <v>0</v>
      </c>
      <c r="F630" s="30">
        <f>IF('11. Water - Capex Input'!$I56=F$3,'11. Water - Capex Input'!$J56,0)</f>
        <v>185668</v>
      </c>
      <c r="G630" s="30">
        <f>IF('11. Water - Capex Input'!$I56=G$3,'11. Water - Capex Input'!$J56,0)</f>
        <v>0</v>
      </c>
      <c r="H630" s="30">
        <f>IF('11. Water - Capex Input'!$I56=H$3,'11. Water - Capex Input'!$J56,0)</f>
        <v>0</v>
      </c>
    </row>
    <row r="631" spans="2:8">
      <c r="B631" s="152">
        <f t="shared" si="203"/>
        <v>0</v>
      </c>
      <c r="D631" s="30">
        <f>IF('11. Water - Capex Input'!$I57=D$3,'11. Water - Capex Input'!$J57,0)</f>
        <v>0</v>
      </c>
      <c r="E631" s="30">
        <f>IF('11. Water - Capex Input'!$I57=E$3,'11. Water - Capex Input'!$J57,0)</f>
        <v>0</v>
      </c>
      <c r="F631" s="30">
        <f>IF('11. Water - Capex Input'!$I57=F$3,'11. Water - Capex Input'!$J57,0)</f>
        <v>0</v>
      </c>
      <c r="G631" s="30">
        <f>IF('11. Water - Capex Input'!$I57=G$3,'11. Water - Capex Input'!$J57,0)</f>
        <v>2110220</v>
      </c>
      <c r="H631" s="30">
        <f>IF('11. Water - Capex Input'!$I57=H$3,'11. Water - Capex Input'!$J57,0)</f>
        <v>0</v>
      </c>
    </row>
    <row r="632" spans="2:8">
      <c r="B632" s="152">
        <f t="shared" si="203"/>
        <v>0</v>
      </c>
      <c r="D632" s="30">
        <f>IF('11. Water - Capex Input'!$I58=D$3,'11. Water - Capex Input'!$J58,0)</f>
        <v>0</v>
      </c>
      <c r="E632" s="30">
        <f>IF('11. Water - Capex Input'!$I58=E$3,'11. Water - Capex Input'!$J58,0)</f>
        <v>0</v>
      </c>
      <c r="F632" s="30">
        <f>IF('11. Water - Capex Input'!$I58=F$3,'11. Water - Capex Input'!$J58,0)</f>
        <v>0</v>
      </c>
      <c r="G632" s="30">
        <f>IF('11. Water - Capex Input'!$I58=G$3,'11. Water - Capex Input'!$J58,0)</f>
        <v>0</v>
      </c>
      <c r="H632" s="30">
        <f>IF('11. Water - Capex Input'!$I58=H$3,'11. Water - Capex Input'!$J58,0)</f>
        <v>1485909</v>
      </c>
    </row>
    <row r="633" spans="2:8">
      <c r="B633" s="152">
        <f t="shared" si="203"/>
        <v>0</v>
      </c>
      <c r="D633" s="30">
        <f>IF('11. Water - Capex Input'!$I59=D$3,'11. Water - Capex Input'!$J59,0)</f>
        <v>1005028.24</v>
      </c>
      <c r="E633" s="30">
        <f>IF('11. Water - Capex Input'!$I59=E$3,'11. Water - Capex Input'!$J59,0)</f>
        <v>0</v>
      </c>
      <c r="F633" s="30">
        <f>IF('11. Water - Capex Input'!$I59=F$3,'11. Water - Capex Input'!$J59,0)</f>
        <v>0</v>
      </c>
      <c r="G633" s="30">
        <f>IF('11. Water - Capex Input'!$I59=G$3,'11. Water - Capex Input'!$J59,0)</f>
        <v>0</v>
      </c>
      <c r="H633" s="30">
        <f>IF('11. Water - Capex Input'!$I59=H$3,'11. Water - Capex Input'!$J59,0)</f>
        <v>0</v>
      </c>
    </row>
    <row r="634" spans="2:8">
      <c r="B634" s="152">
        <f t="shared" si="203"/>
        <v>0</v>
      </c>
      <c r="D634" s="30">
        <f>IF('11. Water - Capex Input'!$I60=D$3,'11. Water - Capex Input'!$J60,0)</f>
        <v>0</v>
      </c>
      <c r="E634" s="30">
        <f>IF('11. Water - Capex Input'!$I60=E$3,'11. Water - Capex Input'!$J60,0)</f>
        <v>2020560.47</v>
      </c>
      <c r="F634" s="30">
        <f>IF('11. Water - Capex Input'!$I60=F$3,'11. Water - Capex Input'!$J60,0)</f>
        <v>0</v>
      </c>
      <c r="G634" s="30">
        <f>IF('11. Water - Capex Input'!$I60=G$3,'11. Water - Capex Input'!$J60,0)</f>
        <v>0</v>
      </c>
      <c r="H634" s="30">
        <f>IF('11. Water - Capex Input'!$I60=H$3,'11. Water - Capex Input'!$J60,0)</f>
        <v>0</v>
      </c>
    </row>
    <row r="635" spans="2:8">
      <c r="B635" s="152">
        <f t="shared" si="203"/>
        <v>0</v>
      </c>
      <c r="D635" s="30">
        <f>IF('11. Water - Capex Input'!$I61=D$3,'11. Water - Capex Input'!$J61,0)</f>
        <v>0</v>
      </c>
      <c r="E635" s="30">
        <f>IF('11. Water - Capex Input'!$I61=E$3,'11. Water - Capex Input'!$J61,0)</f>
        <v>0</v>
      </c>
      <c r="F635" s="30">
        <f>IF('11. Water - Capex Input'!$I61=F$3,'11. Water - Capex Input'!$J61,0)</f>
        <v>330783</v>
      </c>
      <c r="G635" s="30">
        <f>IF('11. Water - Capex Input'!$I61=G$3,'11. Water - Capex Input'!$J61,0)</f>
        <v>0</v>
      </c>
      <c r="H635" s="30">
        <f>IF('11. Water - Capex Input'!$I61=H$3,'11. Water - Capex Input'!$J61,0)</f>
        <v>0</v>
      </c>
    </row>
    <row r="636" spans="2:8">
      <c r="B636" s="152">
        <f t="shared" si="203"/>
        <v>0</v>
      </c>
      <c r="D636" s="30">
        <f>IF('11. Water - Capex Input'!$I62=D$3,'11. Water - Capex Input'!$J62,0)</f>
        <v>3001389.0500000003</v>
      </c>
      <c r="E636" s="30">
        <f>IF('11. Water - Capex Input'!$I62=E$3,'11. Water - Capex Input'!$J62,0)</f>
        <v>0</v>
      </c>
      <c r="F636" s="30">
        <f>IF('11. Water - Capex Input'!$I62=F$3,'11. Water - Capex Input'!$J62,0)</f>
        <v>0</v>
      </c>
      <c r="G636" s="30">
        <f>IF('11. Water - Capex Input'!$I62=G$3,'11. Water - Capex Input'!$J62,0)</f>
        <v>0</v>
      </c>
      <c r="H636" s="30">
        <f>IF('11. Water - Capex Input'!$I62=H$3,'11. Water - Capex Input'!$J62,0)</f>
        <v>0</v>
      </c>
    </row>
    <row r="637" spans="2:8">
      <c r="B637" s="152">
        <f t="shared" si="203"/>
        <v>0</v>
      </c>
      <c r="D637" s="30">
        <f>IF('11. Water - Capex Input'!$I63=D$3,'11. Water - Capex Input'!$J63,0)</f>
        <v>0</v>
      </c>
      <c r="E637" s="30">
        <f>IF('11. Water - Capex Input'!$I63=E$3,'11. Water - Capex Input'!$J63,0)</f>
        <v>80470.950000000012</v>
      </c>
      <c r="F637" s="30">
        <f>IF('11. Water - Capex Input'!$I63=F$3,'11. Water - Capex Input'!$J63,0)</f>
        <v>0</v>
      </c>
      <c r="G637" s="30">
        <f>IF('11. Water - Capex Input'!$I63=G$3,'11. Water - Capex Input'!$J63,0)</f>
        <v>0</v>
      </c>
      <c r="H637" s="30">
        <f>IF('11. Water - Capex Input'!$I63=H$3,'11. Water - Capex Input'!$J63,0)</f>
        <v>0</v>
      </c>
    </row>
    <row r="638" spans="2:8">
      <c r="B638" s="152">
        <f t="shared" si="203"/>
        <v>0</v>
      </c>
      <c r="D638" s="30">
        <f>IF('11. Water - Capex Input'!$I64=D$3,'11. Water - Capex Input'!$J64,0)</f>
        <v>320823.70999999996</v>
      </c>
      <c r="E638" s="30">
        <f>IF('11. Water - Capex Input'!$I64=E$3,'11. Water - Capex Input'!$J64,0)</f>
        <v>0</v>
      </c>
      <c r="F638" s="30">
        <f>IF('11. Water - Capex Input'!$I64=F$3,'11. Water - Capex Input'!$J64,0)</f>
        <v>0</v>
      </c>
      <c r="G638" s="30">
        <f>IF('11. Water - Capex Input'!$I64=G$3,'11. Water - Capex Input'!$J64,0)</f>
        <v>0</v>
      </c>
      <c r="H638" s="30">
        <f>IF('11. Water - Capex Input'!$I64=H$3,'11. Water - Capex Input'!$J64,0)</f>
        <v>0</v>
      </c>
    </row>
    <row r="639" spans="2:8">
      <c r="B639" s="152">
        <f t="shared" si="203"/>
        <v>0</v>
      </c>
      <c r="D639" s="30">
        <f>IF('11. Water - Capex Input'!$I65=D$3,'11. Water - Capex Input'!$J65,0)</f>
        <v>0</v>
      </c>
      <c r="E639" s="30">
        <f>IF('11. Water - Capex Input'!$I65=E$3,'11. Water - Capex Input'!$J65,0)</f>
        <v>1792617.98</v>
      </c>
      <c r="F639" s="30">
        <f>IF('11. Water - Capex Input'!$I65=F$3,'11. Water - Capex Input'!$J65,0)</f>
        <v>0</v>
      </c>
      <c r="G639" s="30">
        <f>IF('11. Water - Capex Input'!$I65=G$3,'11. Water - Capex Input'!$J65,0)</f>
        <v>0</v>
      </c>
      <c r="H639" s="30">
        <f>IF('11. Water - Capex Input'!$I65=H$3,'11. Water - Capex Input'!$J65,0)</f>
        <v>0</v>
      </c>
    </row>
    <row r="640" spans="2:8">
      <c r="B640" s="152">
        <f t="shared" si="203"/>
        <v>0</v>
      </c>
      <c r="D640" s="30">
        <f>IF('11. Water - Capex Input'!$I66=D$3,'11. Water - Capex Input'!$J66,0)</f>
        <v>0</v>
      </c>
      <c r="E640" s="30">
        <f>IF('11. Water - Capex Input'!$I66=E$3,'11. Water - Capex Input'!$J66,0)</f>
        <v>0</v>
      </c>
      <c r="F640" s="30">
        <f>IF('11. Water - Capex Input'!$I66=F$3,'11. Water - Capex Input'!$J66,0)</f>
        <v>50000</v>
      </c>
      <c r="G640" s="30">
        <f>IF('11. Water - Capex Input'!$I66=G$3,'11. Water - Capex Input'!$J66,0)</f>
        <v>0</v>
      </c>
      <c r="H640" s="30">
        <f>IF('11. Water - Capex Input'!$I66=H$3,'11. Water - Capex Input'!$J66,0)</f>
        <v>0</v>
      </c>
    </row>
    <row r="641" spans="2:8">
      <c r="B641" s="152">
        <f t="shared" si="203"/>
        <v>0</v>
      </c>
      <c r="D641" s="30">
        <f>IF('11. Water - Capex Input'!$I67=D$3,'11. Water - Capex Input'!$J67,0)</f>
        <v>0</v>
      </c>
      <c r="E641" s="30">
        <f>IF('11. Water - Capex Input'!$I67=E$3,'11. Water - Capex Input'!$J67,0)</f>
        <v>0</v>
      </c>
      <c r="F641" s="30">
        <f>IF('11. Water - Capex Input'!$I67=F$3,'11. Water - Capex Input'!$J67,0)</f>
        <v>0</v>
      </c>
      <c r="G641" s="30">
        <f>IF('11. Water - Capex Input'!$I67=G$3,'11. Water - Capex Input'!$J67,0)</f>
        <v>277661</v>
      </c>
      <c r="H641" s="30">
        <f>IF('11. Water - Capex Input'!$I67=H$3,'11. Water - Capex Input'!$J67,0)</f>
        <v>0</v>
      </c>
    </row>
    <row r="642" spans="2:8">
      <c r="B642" s="152">
        <f t="shared" si="203"/>
        <v>0</v>
      </c>
      <c r="D642" s="30">
        <f>IF('11. Water - Capex Input'!$I68=D$3,'11. Water - Capex Input'!$J68,0)</f>
        <v>0</v>
      </c>
      <c r="E642" s="30">
        <f>IF('11. Water - Capex Input'!$I68=E$3,'11. Water - Capex Input'!$J68,0)</f>
        <v>0</v>
      </c>
      <c r="F642" s="30">
        <f>IF('11. Water - Capex Input'!$I68=F$3,'11. Water - Capex Input'!$J68,0)</f>
        <v>0</v>
      </c>
      <c r="G642" s="30">
        <f>IF('11. Water - Capex Input'!$I68=G$3,'11. Water - Capex Input'!$J68,0)</f>
        <v>0</v>
      </c>
      <c r="H642" s="30">
        <f>IF('11. Water - Capex Input'!$I68=H$3,'11. Water - Capex Input'!$J68,0)</f>
        <v>1857386</v>
      </c>
    </row>
    <row r="643" spans="2:8">
      <c r="B643" s="152">
        <f t="shared" ref="B643:B674" si="204">B457</f>
        <v>0</v>
      </c>
      <c r="D643" s="30">
        <f>IF('11. Water - Capex Input'!$I69=D$3,'11. Water - Capex Input'!$J69,0)</f>
        <v>127041.21999999999</v>
      </c>
      <c r="E643" s="30">
        <f>IF('11. Water - Capex Input'!$I69=E$3,'11. Water - Capex Input'!$J69,0)</f>
        <v>0</v>
      </c>
      <c r="F643" s="30">
        <f>IF('11. Water - Capex Input'!$I69=F$3,'11. Water - Capex Input'!$J69,0)</f>
        <v>0</v>
      </c>
      <c r="G643" s="30">
        <f>IF('11. Water - Capex Input'!$I69=G$3,'11. Water - Capex Input'!$J69,0)</f>
        <v>0</v>
      </c>
      <c r="H643" s="30">
        <f>IF('11. Water - Capex Input'!$I69=H$3,'11. Water - Capex Input'!$J69,0)</f>
        <v>0</v>
      </c>
    </row>
    <row r="644" spans="2:8">
      <c r="B644" s="152">
        <f t="shared" si="204"/>
        <v>0</v>
      </c>
      <c r="D644" s="30">
        <f>IF('11. Water - Capex Input'!$I70=D$3,'11. Water - Capex Input'!$J70,0)</f>
        <v>0</v>
      </c>
      <c r="E644" s="30">
        <f>IF('11. Water - Capex Input'!$I70=E$3,'11. Water - Capex Input'!$J70,0)</f>
        <v>490651.62</v>
      </c>
      <c r="F644" s="30">
        <f>IF('11. Water - Capex Input'!$I70=F$3,'11. Water - Capex Input'!$J70,0)</f>
        <v>0</v>
      </c>
      <c r="G644" s="30">
        <f>IF('11. Water - Capex Input'!$I70=G$3,'11. Water - Capex Input'!$J70,0)</f>
        <v>0</v>
      </c>
      <c r="H644" s="30">
        <f>IF('11. Water - Capex Input'!$I70=H$3,'11. Water - Capex Input'!$J70,0)</f>
        <v>0</v>
      </c>
    </row>
    <row r="645" spans="2:8">
      <c r="B645" s="152">
        <f t="shared" si="204"/>
        <v>0</v>
      </c>
      <c r="D645" s="30">
        <f>IF('11. Water - Capex Input'!$I71=D$3,'11. Water - Capex Input'!$J71,0)</f>
        <v>0</v>
      </c>
      <c r="E645" s="30">
        <f>IF('11. Water - Capex Input'!$I71=E$3,'11. Water - Capex Input'!$J71,0)</f>
        <v>0</v>
      </c>
      <c r="F645" s="30">
        <f>IF('11. Water - Capex Input'!$I71=F$3,'11. Water - Capex Input'!$J71,0)</f>
        <v>432101</v>
      </c>
      <c r="G645" s="30">
        <f>IF('11. Water - Capex Input'!$I71=G$3,'11. Water - Capex Input'!$J71,0)</f>
        <v>0</v>
      </c>
      <c r="H645" s="30">
        <f>IF('11. Water - Capex Input'!$I71=H$3,'11. Water - Capex Input'!$J71,0)</f>
        <v>0</v>
      </c>
    </row>
    <row r="646" spans="2:8">
      <c r="B646" s="152">
        <f t="shared" si="204"/>
        <v>0</v>
      </c>
      <c r="D646" s="30">
        <f>IF('11. Water - Capex Input'!$I72=D$3,'11. Water - Capex Input'!$J72,0)</f>
        <v>0</v>
      </c>
      <c r="E646" s="30">
        <f>IF('11. Water - Capex Input'!$I72=E$3,'11. Water - Capex Input'!$J72,0)</f>
        <v>0</v>
      </c>
      <c r="F646" s="30">
        <f>IF('11. Water - Capex Input'!$I72=F$3,'11. Water - Capex Input'!$J72,0)</f>
        <v>0</v>
      </c>
      <c r="G646" s="30">
        <f>IF('11. Water - Capex Input'!$I72=G$3,'11. Water - Capex Input'!$J72,0)</f>
        <v>444257</v>
      </c>
      <c r="H646" s="30">
        <f>IF('11. Water - Capex Input'!$I72=H$3,'11. Water - Capex Input'!$J72,0)</f>
        <v>0</v>
      </c>
    </row>
    <row r="647" spans="2:8">
      <c r="B647" s="152">
        <f t="shared" si="204"/>
        <v>0</v>
      </c>
      <c r="D647" s="30">
        <f>IF('11. Water - Capex Input'!$I73=D$3,'11. Water - Capex Input'!$J73,0)</f>
        <v>0</v>
      </c>
      <c r="E647" s="30">
        <f>IF('11. Water - Capex Input'!$I73=E$3,'11. Water - Capex Input'!$J73,0)</f>
        <v>0</v>
      </c>
      <c r="F647" s="30">
        <f>IF('11. Water - Capex Input'!$I73=F$3,'11. Water - Capex Input'!$J73,0)</f>
        <v>0</v>
      </c>
      <c r="G647" s="30">
        <f>IF('11. Water - Capex Input'!$I73=G$3,'11. Water - Capex Input'!$J73,0)</f>
        <v>0</v>
      </c>
      <c r="H647" s="30">
        <f>IF('11. Water - Capex Input'!$I73=H$3,'11. Water - Capex Input'!$J73,0)</f>
        <v>457203</v>
      </c>
    </row>
    <row r="648" spans="2:8">
      <c r="B648" s="152">
        <f t="shared" si="204"/>
        <v>0</v>
      </c>
      <c r="D648" s="30">
        <f>IF('11. Water - Capex Input'!$I74=D$3,'11. Water - Capex Input'!$J74,0)</f>
        <v>327438.61999999994</v>
      </c>
      <c r="E648" s="30">
        <f>IF('11. Water - Capex Input'!$I74=E$3,'11. Water - Capex Input'!$J74,0)</f>
        <v>0</v>
      </c>
      <c r="F648" s="30">
        <f>IF('11. Water - Capex Input'!$I74=F$3,'11. Water - Capex Input'!$J74,0)</f>
        <v>0</v>
      </c>
      <c r="G648" s="30">
        <f>IF('11. Water - Capex Input'!$I74=G$3,'11. Water - Capex Input'!$J74,0)</f>
        <v>0</v>
      </c>
      <c r="H648" s="30">
        <f>IF('11. Water - Capex Input'!$I74=H$3,'11. Water - Capex Input'!$J74,0)</f>
        <v>0</v>
      </c>
    </row>
    <row r="649" spans="2:8">
      <c r="B649" s="152">
        <f t="shared" si="204"/>
        <v>0</v>
      </c>
      <c r="D649" s="30">
        <f>IF('11. Water - Capex Input'!$I75=D$3,'11. Water - Capex Input'!$J75,0)</f>
        <v>0</v>
      </c>
      <c r="E649" s="30">
        <f>IF('11. Water - Capex Input'!$I75=E$3,'11. Water - Capex Input'!$J75,0)</f>
        <v>1593640.54</v>
      </c>
      <c r="F649" s="30">
        <f>IF('11. Water - Capex Input'!$I75=F$3,'11. Water - Capex Input'!$J75,0)</f>
        <v>0</v>
      </c>
      <c r="G649" s="30">
        <f>IF('11. Water - Capex Input'!$I75=G$3,'11. Water - Capex Input'!$J75,0)</f>
        <v>0</v>
      </c>
      <c r="H649" s="30">
        <f>IF('11. Water - Capex Input'!$I75=H$3,'11. Water - Capex Input'!$J75,0)</f>
        <v>0</v>
      </c>
    </row>
    <row r="650" spans="2:8">
      <c r="B650" s="152">
        <f t="shared" si="204"/>
        <v>0</v>
      </c>
      <c r="D650" s="30">
        <f>IF('11. Water - Capex Input'!$I76=D$3,'11. Water - Capex Input'!$J76,0)</f>
        <v>0</v>
      </c>
      <c r="E650" s="30">
        <f>IF('11. Water - Capex Input'!$I76=E$3,'11. Water - Capex Input'!$J76,0)</f>
        <v>0</v>
      </c>
      <c r="F650" s="30">
        <f>IF('11. Water - Capex Input'!$I76=F$3,'11. Water - Capex Input'!$J76,0)</f>
        <v>108025</v>
      </c>
      <c r="G650" s="30">
        <f>IF('11. Water - Capex Input'!$I76=G$3,'11. Water - Capex Input'!$J76,0)</f>
        <v>0</v>
      </c>
      <c r="H650" s="30">
        <f>IF('11. Water - Capex Input'!$I76=H$3,'11. Water - Capex Input'!$J76,0)</f>
        <v>0</v>
      </c>
    </row>
    <row r="651" spans="2:8">
      <c r="B651" s="152">
        <f t="shared" si="204"/>
        <v>0</v>
      </c>
      <c r="D651" s="30">
        <f>IF('11. Water - Capex Input'!$I77=D$3,'11. Water - Capex Input'!$J77,0)</f>
        <v>0</v>
      </c>
      <c r="E651" s="30">
        <f>IF('11. Water - Capex Input'!$I77=E$3,'11. Water - Capex Input'!$J77,0)</f>
        <v>0</v>
      </c>
      <c r="F651" s="30">
        <f>IF('11. Water - Capex Input'!$I77=F$3,'11. Water - Capex Input'!$J77,0)</f>
        <v>0</v>
      </c>
      <c r="G651" s="30">
        <f>IF('11. Water - Capex Input'!$I77=G$3,'11. Water - Capex Input'!$J77,0)</f>
        <v>1147332</v>
      </c>
      <c r="H651" s="30">
        <f>IF('11. Water - Capex Input'!$I77=H$3,'11. Water - Capex Input'!$J77,0)</f>
        <v>0</v>
      </c>
    </row>
    <row r="652" spans="2:8">
      <c r="B652" s="152">
        <f t="shared" si="204"/>
        <v>0</v>
      </c>
      <c r="D652" s="30">
        <f>IF('11. Water - Capex Input'!$I78=D$3,'11. Water - Capex Input'!$J78,0)</f>
        <v>0</v>
      </c>
      <c r="E652" s="30">
        <f>IF('11. Water - Capex Input'!$I78=E$3,'11. Water - Capex Input'!$J78,0)</f>
        <v>0</v>
      </c>
      <c r="F652" s="30">
        <f>IF('11. Water - Capex Input'!$I78=F$3,'11. Water - Capex Input'!$J78,0)</f>
        <v>0</v>
      </c>
      <c r="G652" s="30">
        <f>IF('11. Water - Capex Input'!$I78=G$3,'11. Water - Capex Input'!$J78,0)</f>
        <v>111064</v>
      </c>
      <c r="H652" s="30">
        <f>IF('11. Water - Capex Input'!$I78=H$3,'11. Water - Capex Input'!$J78,0)</f>
        <v>0</v>
      </c>
    </row>
    <row r="653" spans="2:8">
      <c r="B653" s="152">
        <f t="shared" si="204"/>
        <v>0</v>
      </c>
      <c r="D653" s="30">
        <f>IF('11. Water - Capex Input'!$I79=D$3,'11. Water - Capex Input'!$J79,0)</f>
        <v>0</v>
      </c>
      <c r="E653" s="30">
        <f>IF('11. Water - Capex Input'!$I79=E$3,'11. Water - Capex Input'!$J79,0)</f>
        <v>0</v>
      </c>
      <c r="F653" s="30">
        <f>IF('11. Water - Capex Input'!$I79=F$3,'11. Water - Capex Input'!$J79,0)</f>
        <v>0</v>
      </c>
      <c r="G653" s="30">
        <f>IF('11. Water - Capex Input'!$I79=G$3,'11. Water - Capex Input'!$J79,0)</f>
        <v>0</v>
      </c>
      <c r="H653" s="30">
        <f>IF('11. Water - Capex Input'!$I79=H$3,'11. Water - Capex Input'!$J79,0)</f>
        <v>1041565</v>
      </c>
    </row>
    <row r="654" spans="2:8">
      <c r="B654" s="152">
        <f t="shared" si="204"/>
        <v>0</v>
      </c>
      <c r="D654" s="30">
        <f>IF('11. Water - Capex Input'!$I80=D$3,'11. Water - Capex Input'!$J80,0)</f>
        <v>389154.22000000003</v>
      </c>
      <c r="E654" s="30">
        <f>IF('11. Water - Capex Input'!$I80=E$3,'11. Water - Capex Input'!$J80,0)</f>
        <v>0</v>
      </c>
      <c r="F654" s="30">
        <f>IF('11. Water - Capex Input'!$I80=F$3,'11. Water - Capex Input'!$J80,0)</f>
        <v>0</v>
      </c>
      <c r="G654" s="30">
        <f>IF('11. Water - Capex Input'!$I80=G$3,'11. Water - Capex Input'!$J80,0)</f>
        <v>0</v>
      </c>
      <c r="H654" s="30">
        <f>IF('11. Water - Capex Input'!$I80=H$3,'11. Water - Capex Input'!$J80,0)</f>
        <v>0</v>
      </c>
    </row>
    <row r="655" spans="2:8">
      <c r="B655" s="152">
        <f t="shared" si="204"/>
        <v>0</v>
      </c>
      <c r="D655" s="30">
        <f>IF('11. Water - Capex Input'!$I81=D$3,'11. Water - Capex Input'!$J81,0)</f>
        <v>0</v>
      </c>
      <c r="E655" s="30">
        <f>IF('11. Water - Capex Input'!$I81=E$3,'11. Water - Capex Input'!$J81,0)</f>
        <v>711567.76</v>
      </c>
      <c r="F655" s="30">
        <f>IF('11. Water - Capex Input'!$I81=F$3,'11. Water - Capex Input'!$J81,0)</f>
        <v>0</v>
      </c>
      <c r="G655" s="30">
        <f>IF('11. Water - Capex Input'!$I81=G$3,'11. Water - Capex Input'!$J81,0)</f>
        <v>0</v>
      </c>
      <c r="H655" s="30">
        <f>IF('11. Water - Capex Input'!$I81=H$3,'11. Water - Capex Input'!$J81,0)</f>
        <v>0</v>
      </c>
    </row>
    <row r="656" spans="2:8">
      <c r="B656" s="152">
        <f t="shared" si="204"/>
        <v>0</v>
      </c>
      <c r="D656" s="30">
        <f>IF('11. Water - Capex Input'!$I82=D$3,'11. Water - Capex Input'!$J82,0)</f>
        <v>0</v>
      </c>
      <c r="E656" s="30">
        <f>IF('11. Water - Capex Input'!$I82=E$3,'11. Water - Capex Input'!$J82,0)</f>
        <v>0</v>
      </c>
      <c r="F656" s="30">
        <f>IF('11. Water - Capex Input'!$I82=F$3,'11. Water - Capex Input'!$J82,0)</f>
        <v>0</v>
      </c>
      <c r="G656" s="30">
        <f>IF('11. Water - Capex Input'!$I82=G$3,'11. Water - Capex Input'!$J82,0)</f>
        <v>416491</v>
      </c>
      <c r="H656" s="30">
        <f>IF('11. Water - Capex Input'!$I82=H$3,'11. Water - Capex Input'!$J82,0)</f>
        <v>0</v>
      </c>
    </row>
    <row r="657" spans="2:8">
      <c r="B657" s="152">
        <f t="shared" si="204"/>
        <v>0</v>
      </c>
      <c r="D657" s="30">
        <f>IF('11. Water - Capex Input'!$I83=D$3,'11. Water - Capex Input'!$J83,0)</f>
        <v>0</v>
      </c>
      <c r="E657" s="30">
        <f>IF('11. Water - Capex Input'!$I83=E$3,'11. Water - Capex Input'!$J83,0)</f>
        <v>0</v>
      </c>
      <c r="F657" s="30">
        <f>IF('11. Water - Capex Input'!$I83=F$3,'11. Water - Capex Input'!$J83,0)</f>
        <v>0</v>
      </c>
      <c r="G657" s="30">
        <f>IF('11. Water - Capex Input'!$I83=G$3,'11. Water - Capex Input'!$J83,0)</f>
        <v>0</v>
      </c>
      <c r="H657" s="30">
        <f>IF('11. Water - Capex Input'!$I83=H$3,'11. Water - Capex Input'!$J83,0)</f>
        <v>585791</v>
      </c>
    </row>
    <row r="658" spans="2:8">
      <c r="B658" s="152">
        <f t="shared" si="204"/>
        <v>0</v>
      </c>
      <c r="D658" s="30">
        <f>IF('11. Water - Capex Input'!$I84=D$3,'11. Water - Capex Input'!$J84,0)</f>
        <v>0</v>
      </c>
      <c r="E658" s="30">
        <f>IF('11. Water - Capex Input'!$I84=E$3,'11. Water - Capex Input'!$J84,0)</f>
        <v>0</v>
      </c>
      <c r="F658" s="30">
        <f>IF('11. Water - Capex Input'!$I84=F$3,'11. Water - Capex Input'!$J84,0)</f>
        <v>0</v>
      </c>
      <c r="G658" s="30">
        <f>IF('11. Water - Capex Input'!$I84=G$3,'11. Water - Capex Input'!$J84,0)</f>
        <v>138830</v>
      </c>
      <c r="H658" s="30">
        <f>IF('11. Water - Capex Input'!$I84=H$3,'11. Water - Capex Input'!$J84,0)</f>
        <v>0</v>
      </c>
    </row>
    <row r="659" spans="2:8">
      <c r="B659" s="152">
        <f t="shared" si="204"/>
        <v>0</v>
      </c>
      <c r="D659" s="30">
        <f>IF('11. Water - Capex Input'!$I85=D$3,'11. Water - Capex Input'!$J85,0)</f>
        <v>0</v>
      </c>
      <c r="E659" s="30">
        <f>IF('11. Water - Capex Input'!$I85=E$3,'11. Water - Capex Input'!$J85,0)</f>
        <v>0</v>
      </c>
      <c r="F659" s="30">
        <f>IF('11. Water - Capex Input'!$I85=F$3,'11. Water - Capex Input'!$J85,0)</f>
        <v>0</v>
      </c>
      <c r="G659" s="30">
        <f>IF('11. Water - Capex Input'!$I85=G$3,'11. Water - Capex Input'!$J85,0)</f>
        <v>0</v>
      </c>
      <c r="H659" s="30">
        <f>IF('11. Water - Capex Input'!$I85=H$3,'11. Water - Capex Input'!$J85,0)</f>
        <v>857255</v>
      </c>
    </row>
    <row r="660" spans="2:8">
      <c r="B660" s="152">
        <f t="shared" si="204"/>
        <v>0</v>
      </c>
      <c r="D660" s="30">
        <f>IF('11. Water - Capex Input'!$I86=D$3,'11. Water - Capex Input'!$J86,0)</f>
        <v>0</v>
      </c>
      <c r="E660" s="30">
        <f>IF('11. Water - Capex Input'!$I86=E$3,'11. Water - Capex Input'!$J86,0)</f>
        <v>0</v>
      </c>
      <c r="F660" s="30">
        <f>IF('11. Water - Capex Input'!$I86=F$3,'11. Water - Capex Input'!$J86,0)</f>
        <v>0</v>
      </c>
      <c r="G660" s="30">
        <f>IF('11. Water - Capex Input'!$I86=G$3,'11. Water - Capex Input'!$J86,0)</f>
        <v>194362</v>
      </c>
      <c r="H660" s="30">
        <f>IF('11. Water - Capex Input'!$I86=H$3,'11. Water - Capex Input'!$J86,0)</f>
        <v>0</v>
      </c>
    </row>
    <row r="661" spans="2:8">
      <c r="B661" s="152">
        <f t="shared" si="204"/>
        <v>0</v>
      </c>
      <c r="D661" s="30">
        <f>IF('11. Water - Capex Input'!$I87=D$3,'11. Water - Capex Input'!$J87,0)</f>
        <v>0</v>
      </c>
      <c r="E661" s="30">
        <f>IF('11. Water - Capex Input'!$I87=E$3,'11. Water - Capex Input'!$J87,0)</f>
        <v>0</v>
      </c>
      <c r="F661" s="30">
        <f>IF('11. Water - Capex Input'!$I87=F$3,'11. Water - Capex Input'!$J87,0)</f>
        <v>0</v>
      </c>
      <c r="G661" s="30">
        <f>IF('11. Water - Capex Input'!$I87=G$3,'11. Water - Capex Input'!$J87,0)</f>
        <v>0</v>
      </c>
      <c r="H661" s="30">
        <f>IF('11. Water - Capex Input'!$I87=H$3,'11. Water - Capex Input'!$J87,0)</f>
        <v>685804</v>
      </c>
    </row>
    <row r="662" spans="2:8">
      <c r="B662" s="152">
        <f t="shared" si="204"/>
        <v>0</v>
      </c>
      <c r="D662" s="30">
        <f>IF('11. Water - Capex Input'!$I88=D$3,'11. Water - Capex Input'!$J88,0)</f>
        <v>0</v>
      </c>
      <c r="E662" s="30">
        <f>IF('11. Water - Capex Input'!$I88=E$3,'11. Water - Capex Input'!$J88,0)</f>
        <v>0</v>
      </c>
      <c r="F662" s="30">
        <f>IF('11. Water - Capex Input'!$I88=F$3,'11. Water - Capex Input'!$J88,0)</f>
        <v>270063</v>
      </c>
      <c r="G662" s="30">
        <f>IF('11. Water - Capex Input'!$I88=G$3,'11. Water - Capex Input'!$J88,0)</f>
        <v>0</v>
      </c>
      <c r="H662" s="30">
        <f>IF('11. Water - Capex Input'!$I88=H$3,'11. Water - Capex Input'!$J88,0)</f>
        <v>0</v>
      </c>
    </row>
    <row r="663" spans="2:8">
      <c r="B663" s="152">
        <f t="shared" si="204"/>
        <v>0</v>
      </c>
      <c r="D663" s="30">
        <f>IF('11. Water - Capex Input'!$I89=D$3,'11. Water - Capex Input'!$J89,0)</f>
        <v>0</v>
      </c>
      <c r="E663" s="30">
        <f>IF('11. Water - Capex Input'!$I89=E$3,'11. Water - Capex Input'!$J89,0)</f>
        <v>0</v>
      </c>
      <c r="F663" s="30">
        <f>IF('11. Water - Capex Input'!$I89=F$3,'11. Water - Capex Input'!$J89,0)</f>
        <v>0</v>
      </c>
      <c r="G663" s="30">
        <f>IF('11. Water - Capex Input'!$I89=G$3,'11. Water - Capex Input'!$J89,0)</f>
        <v>277661</v>
      </c>
      <c r="H663" s="30">
        <f>IF('11. Water - Capex Input'!$I89=H$3,'11. Water - Capex Input'!$J89,0)</f>
        <v>0</v>
      </c>
    </row>
    <row r="664" spans="2:8">
      <c r="B664" s="152">
        <f t="shared" si="204"/>
        <v>0</v>
      </c>
      <c r="D664" s="30">
        <f>IF('11. Water - Capex Input'!$I90=D$3,'11. Water - Capex Input'!$J90,0)</f>
        <v>0</v>
      </c>
      <c r="E664" s="30">
        <f>IF('11. Water - Capex Input'!$I90=E$3,'11. Water - Capex Input'!$J90,0)</f>
        <v>0</v>
      </c>
      <c r="F664" s="30">
        <f>IF('11. Water - Capex Input'!$I90=F$3,'11. Water - Capex Input'!$J90,0)</f>
        <v>0</v>
      </c>
      <c r="G664" s="30">
        <f>IF('11. Water - Capex Input'!$I90=G$3,'11. Water - Capex Input'!$J90,0)</f>
        <v>0</v>
      </c>
      <c r="H664" s="30">
        <f>IF('11. Water - Capex Input'!$I90=H$3,'11. Water - Capex Input'!$J90,0)</f>
        <v>328615</v>
      </c>
    </row>
    <row r="665" spans="2:8">
      <c r="B665" s="152">
        <f t="shared" si="204"/>
        <v>0</v>
      </c>
      <c r="D665" s="30">
        <f>IF('11. Water - Capex Input'!$I91=D$3,'11. Water - Capex Input'!$J91,0)</f>
        <v>0</v>
      </c>
      <c r="E665" s="30">
        <f>IF('11. Water - Capex Input'!$I91=E$3,'11. Water - Capex Input'!$J91,0)</f>
        <v>0</v>
      </c>
      <c r="F665" s="30">
        <f>IF('11. Water - Capex Input'!$I91=F$3,'11. Water - Capex Input'!$J91,0)</f>
        <v>0</v>
      </c>
      <c r="G665" s="30">
        <f>IF('11. Water - Capex Input'!$I91=G$3,'11. Water - Capex Input'!$J91,0)</f>
        <v>0</v>
      </c>
      <c r="H665" s="30">
        <f>IF('11. Water - Capex Input'!$I91=H$3,'11. Water - Capex Input'!$J91,0)</f>
        <v>714379</v>
      </c>
    </row>
    <row r="666" spans="2:8">
      <c r="B666" s="152">
        <f t="shared" si="204"/>
        <v>0</v>
      </c>
      <c r="D666" s="30">
        <f>IF('11. Water - Capex Input'!$I92=D$3,'11. Water - Capex Input'!$J92,0)</f>
        <v>0</v>
      </c>
      <c r="E666" s="30">
        <f>IF('11. Water - Capex Input'!$I92=E$3,'11. Water - Capex Input'!$J92,0)</f>
        <v>0</v>
      </c>
      <c r="F666" s="30">
        <f>IF('11. Water - Capex Input'!$I92=F$3,'11. Water - Capex Input'!$J92,0)</f>
        <v>0</v>
      </c>
      <c r="G666" s="30">
        <f>IF('11. Water - Capex Input'!$I92=G$3,'11. Water - Capex Input'!$J92,0)</f>
        <v>0</v>
      </c>
      <c r="H666" s="30">
        <f>IF('11. Water - Capex Input'!$I92=H$3,'11. Water - Capex Input'!$J92,0)</f>
        <v>714379</v>
      </c>
    </row>
    <row r="667" spans="2:8">
      <c r="B667" s="152">
        <f t="shared" si="204"/>
        <v>0</v>
      </c>
      <c r="D667" s="30">
        <f>IF('11. Water - Capex Input'!$I93=D$3,'11. Water - Capex Input'!$J93,0)</f>
        <v>0</v>
      </c>
      <c r="E667" s="30">
        <f>IF('11. Water - Capex Input'!$I93=E$3,'11. Water - Capex Input'!$J93,0)</f>
        <v>0</v>
      </c>
      <c r="F667" s="30">
        <f>IF('11. Water - Capex Input'!$I93=F$3,'11. Water - Capex Input'!$J93,0)</f>
        <v>0</v>
      </c>
      <c r="G667" s="30">
        <f>IF('11. Water - Capex Input'!$I93=G$3,'11. Water - Capex Input'!$J93,0)</f>
        <v>171337.07761766078</v>
      </c>
      <c r="H667" s="30">
        <f>IF('11. Water - Capex Input'!$I93=H$3,'11. Water - Capex Input'!$J93,0)</f>
        <v>0</v>
      </c>
    </row>
    <row r="668" spans="2:8">
      <c r="B668" s="152">
        <f t="shared" si="204"/>
        <v>0</v>
      </c>
      <c r="D668" s="30">
        <f>IF('11. Water - Capex Input'!$I94=D$3,'11. Water - Capex Input'!$J94,0)</f>
        <v>0</v>
      </c>
      <c r="E668" s="30">
        <f>IF('11. Water - Capex Input'!$I94=E$3,'11. Water - Capex Input'!$J94,0)</f>
        <v>0</v>
      </c>
      <c r="F668" s="30">
        <f>IF('11. Water - Capex Input'!$I94=F$3,'11. Water - Capex Input'!$J94,0)</f>
        <v>0</v>
      </c>
      <c r="G668" s="30">
        <f>IF('11. Water - Capex Input'!$I94=G$3,'11. Water - Capex Input'!$J94,0)</f>
        <v>0</v>
      </c>
      <c r="H668" s="30">
        <f>IF('11. Water - Capex Input'!$I94=H$3,'11. Water - Capex Input'!$J94,0)</f>
        <v>540126.17785906384</v>
      </c>
    </row>
    <row r="669" spans="2:8">
      <c r="B669" s="152">
        <f t="shared" si="204"/>
        <v>0</v>
      </c>
      <c r="D669" s="30">
        <f>IF('11. Water - Capex Input'!$I95=D$3,'11. Water - Capex Input'!$J95,0)</f>
        <v>0</v>
      </c>
      <c r="E669" s="30">
        <f>IF('11. Water - Capex Input'!$I95=E$3,'11. Water - Capex Input'!$J95,0)</f>
        <v>0</v>
      </c>
      <c r="F669" s="30">
        <f>IF('11. Water - Capex Input'!$I95=F$3,'11. Water - Capex Input'!$J95,0)</f>
        <v>0</v>
      </c>
      <c r="G669" s="30">
        <f>IF('11. Water - Capex Input'!$I95=G$3,'11. Water - Capex Input'!$J95,0)</f>
        <v>654238</v>
      </c>
      <c r="H669" s="30">
        <f>IF('11. Water - Capex Input'!$I95=H$3,'11. Water - Capex Input'!$J95,0)</f>
        <v>0</v>
      </c>
    </row>
    <row r="670" spans="2:8">
      <c r="B670" s="152">
        <f t="shared" si="204"/>
        <v>0</v>
      </c>
      <c r="D670" s="30">
        <f>IF('11. Water - Capex Input'!$I96=D$3,'11. Water - Capex Input'!$J96,0)</f>
        <v>643269.34000000008</v>
      </c>
      <c r="E670" s="30">
        <f>IF('11. Water - Capex Input'!$I96=E$3,'11. Water - Capex Input'!$J96,0)</f>
        <v>0</v>
      </c>
      <c r="F670" s="30">
        <f>IF('11. Water - Capex Input'!$I96=F$3,'11. Water - Capex Input'!$J96,0)</f>
        <v>0</v>
      </c>
      <c r="G670" s="30">
        <f>IF('11. Water - Capex Input'!$I96=G$3,'11. Water - Capex Input'!$J96,0)</f>
        <v>0</v>
      </c>
      <c r="H670" s="30">
        <f>IF('11. Water - Capex Input'!$I96=H$3,'11. Water - Capex Input'!$J96,0)</f>
        <v>0</v>
      </c>
    </row>
    <row r="671" spans="2:8">
      <c r="B671" s="152">
        <f t="shared" si="204"/>
        <v>0</v>
      </c>
      <c r="D671" s="30">
        <f>IF('11. Water - Capex Input'!$I97=D$3,'11. Water - Capex Input'!$J97,0)</f>
        <v>0</v>
      </c>
      <c r="E671" s="30">
        <f>IF('11. Water - Capex Input'!$I97=E$3,'11. Water - Capex Input'!$J97,0)</f>
        <v>0</v>
      </c>
      <c r="F671" s="30">
        <f>IF('11. Water - Capex Input'!$I97=F$3,'11. Water - Capex Input'!$J97,0)</f>
        <v>614394</v>
      </c>
      <c r="G671" s="30">
        <f>IF('11. Water - Capex Input'!$I97=G$3,'11. Water - Capex Input'!$J97,0)</f>
        <v>0</v>
      </c>
      <c r="H671" s="30">
        <f>IF('11. Water - Capex Input'!$I97=H$3,'11. Water - Capex Input'!$J97,0)</f>
        <v>0</v>
      </c>
    </row>
    <row r="672" spans="2:8">
      <c r="B672" s="152">
        <f t="shared" si="204"/>
        <v>0</v>
      </c>
      <c r="D672" s="30">
        <f>IF('11. Water - Capex Input'!$I98=D$3,'11. Water - Capex Input'!$J98,0)</f>
        <v>0</v>
      </c>
      <c r="E672" s="30">
        <f>IF('11. Water - Capex Input'!$I98=E$3,'11. Water - Capex Input'!$J98,0)</f>
        <v>0</v>
      </c>
      <c r="F672" s="30">
        <f>IF('11. Water - Capex Input'!$I98=F$3,'11. Water - Capex Input'!$J98,0)</f>
        <v>0</v>
      </c>
      <c r="G672" s="30">
        <f>IF('11. Water - Capex Input'!$I98=G$3,'11. Water - Capex Input'!$J98,0)</f>
        <v>111064</v>
      </c>
      <c r="H672" s="30">
        <f>IF('11. Water - Capex Input'!$I98=H$3,'11. Water - Capex Input'!$J98,0)</f>
        <v>0</v>
      </c>
    </row>
    <row r="673" spans="2:8">
      <c r="B673" s="152">
        <f t="shared" si="204"/>
        <v>0</v>
      </c>
      <c r="D673" s="30">
        <f>IF('11. Water - Capex Input'!$I99=D$3,'11. Water - Capex Input'!$J99,0)</f>
        <v>0</v>
      </c>
      <c r="E673" s="30">
        <f>IF('11. Water - Capex Input'!$I99=E$3,'11. Water - Capex Input'!$J99,0)</f>
        <v>0</v>
      </c>
      <c r="F673" s="30">
        <f>IF('11. Water - Capex Input'!$I99=F$3,'11. Water - Capex Input'!$J99,0)</f>
        <v>0</v>
      </c>
      <c r="G673" s="30">
        <f>IF('11. Water - Capex Input'!$I99=G$3,'11. Water - Capex Input'!$J99,0)</f>
        <v>0</v>
      </c>
      <c r="H673" s="30">
        <f>IF('11. Water - Capex Input'!$I99=H$3,'11. Water - Capex Input'!$J99,0)</f>
        <v>457203</v>
      </c>
    </row>
    <row r="674" spans="2:8">
      <c r="B674" s="152">
        <f t="shared" si="204"/>
        <v>0</v>
      </c>
      <c r="D674" s="30">
        <f>IF('11. Water - Capex Input'!$I100=D$3,'11. Water - Capex Input'!$J100,0)</f>
        <v>35377.360000000008</v>
      </c>
      <c r="E674" s="30">
        <f>IF('11. Water - Capex Input'!$I100=E$3,'11. Water - Capex Input'!$J100,0)</f>
        <v>0</v>
      </c>
      <c r="F674" s="30">
        <f>IF('11. Water - Capex Input'!$I100=F$3,'11. Water - Capex Input'!$J100,0)</f>
        <v>0</v>
      </c>
      <c r="G674" s="30">
        <f>IF('11. Water - Capex Input'!$I100=G$3,'11. Water - Capex Input'!$J100,0)</f>
        <v>0</v>
      </c>
      <c r="H674" s="30">
        <f>IF('11. Water - Capex Input'!$I100=H$3,'11. Water - Capex Input'!$J100,0)</f>
        <v>0</v>
      </c>
    </row>
    <row r="675" spans="2:8">
      <c r="B675" s="152">
        <f t="shared" ref="B675:B706" si="205">B489</f>
        <v>0</v>
      </c>
      <c r="D675" s="30">
        <f>IF('11. Water - Capex Input'!$I101=D$3,'11. Water - Capex Input'!$J101,0)</f>
        <v>0</v>
      </c>
      <c r="E675" s="30">
        <f>IF('11. Water - Capex Input'!$I101=E$3,'11. Water - Capex Input'!$J101,0)</f>
        <v>481377.5</v>
      </c>
      <c r="F675" s="30">
        <f>IF('11. Water - Capex Input'!$I101=F$3,'11. Water - Capex Input'!$J101,0)</f>
        <v>0</v>
      </c>
      <c r="G675" s="30">
        <f>IF('11. Water - Capex Input'!$I101=G$3,'11. Water - Capex Input'!$J101,0)</f>
        <v>0</v>
      </c>
      <c r="H675" s="30">
        <f>IF('11. Water - Capex Input'!$I101=H$3,'11. Water - Capex Input'!$J101,0)</f>
        <v>0</v>
      </c>
    </row>
    <row r="676" spans="2:8">
      <c r="B676" s="152">
        <f t="shared" si="205"/>
        <v>0</v>
      </c>
      <c r="D676" s="30">
        <f>IF('11. Water - Capex Input'!$I102=D$3,'11. Water - Capex Input'!$J102,0)</f>
        <v>0</v>
      </c>
      <c r="E676" s="30">
        <f>IF('11. Water - Capex Input'!$I102=E$3,'11. Water - Capex Input'!$J102,0)</f>
        <v>0</v>
      </c>
      <c r="F676" s="30">
        <f>IF('11. Water - Capex Input'!$I102=F$3,'11. Water - Capex Input'!$J102,0)</f>
        <v>0</v>
      </c>
      <c r="G676" s="30">
        <f>IF('11. Water - Capex Input'!$I102=G$3,'11. Water - Capex Input'!$J102,0)</f>
        <v>0</v>
      </c>
      <c r="H676" s="30">
        <f>IF('11. Water - Capex Input'!$I102=H$3,'11. Water - Capex Input'!$J102,0)</f>
        <v>470062</v>
      </c>
    </row>
    <row r="677" spans="2:8">
      <c r="B677" s="152">
        <f t="shared" si="205"/>
        <v>0</v>
      </c>
      <c r="D677" s="30">
        <f>IF('11. Water - Capex Input'!$I103=D$3,'11. Water - Capex Input'!$J103,0)</f>
        <v>20264.030000000002</v>
      </c>
      <c r="E677" s="30">
        <f>IF('11. Water - Capex Input'!$I103=E$3,'11. Water - Capex Input'!$J103,0)</f>
        <v>0</v>
      </c>
      <c r="F677" s="30">
        <f>IF('11. Water - Capex Input'!$I103=F$3,'11. Water - Capex Input'!$J103,0)</f>
        <v>0</v>
      </c>
      <c r="G677" s="30">
        <f>IF('11. Water - Capex Input'!$I103=G$3,'11. Water - Capex Input'!$J103,0)</f>
        <v>0</v>
      </c>
      <c r="H677" s="30">
        <f>IF('11. Water - Capex Input'!$I103=H$3,'11. Water - Capex Input'!$J103,0)</f>
        <v>0</v>
      </c>
    </row>
    <row r="678" spans="2:8">
      <c r="B678" s="152">
        <f t="shared" si="205"/>
        <v>0</v>
      </c>
      <c r="D678" s="30">
        <f>IF('11. Water - Capex Input'!$I104=D$3,'11. Water - Capex Input'!$J104,0)</f>
        <v>0</v>
      </c>
      <c r="E678" s="30">
        <f>IF('11. Water - Capex Input'!$I104=E$3,'11. Water - Capex Input'!$J104,0)</f>
        <v>372199.73</v>
      </c>
      <c r="F678" s="30">
        <f>IF('11. Water - Capex Input'!$I104=F$3,'11. Water - Capex Input'!$J104,0)</f>
        <v>0</v>
      </c>
      <c r="G678" s="30">
        <f>IF('11. Water - Capex Input'!$I104=G$3,'11. Water - Capex Input'!$J104,0)</f>
        <v>0</v>
      </c>
      <c r="H678" s="30">
        <f>IF('11. Water - Capex Input'!$I104=H$3,'11. Water - Capex Input'!$J104,0)</f>
        <v>0</v>
      </c>
    </row>
    <row r="679" spans="2:8">
      <c r="B679" s="152">
        <f t="shared" si="205"/>
        <v>0</v>
      </c>
      <c r="D679" s="30">
        <f>IF('11. Water - Capex Input'!$I105=D$3,'11. Water - Capex Input'!$J105,0)</f>
        <v>0</v>
      </c>
      <c r="E679" s="30">
        <f>IF('11. Water - Capex Input'!$I105=E$3,'11. Water - Capex Input'!$J105,0)</f>
        <v>0</v>
      </c>
      <c r="F679" s="30">
        <f>IF('11. Water - Capex Input'!$I105=F$3,'11. Water - Capex Input'!$J105,0)</f>
        <v>46752</v>
      </c>
      <c r="G679" s="30">
        <f>IF('11. Water - Capex Input'!$I105=G$3,'11. Water - Capex Input'!$J105,0)</f>
        <v>0</v>
      </c>
      <c r="H679" s="30">
        <f>IF('11. Water - Capex Input'!$I105=H$3,'11. Water - Capex Input'!$J105,0)</f>
        <v>0</v>
      </c>
    </row>
    <row r="680" spans="2:8">
      <c r="B680" s="152">
        <f t="shared" si="205"/>
        <v>0</v>
      </c>
      <c r="D680" s="30">
        <f>IF('11. Water - Capex Input'!$I106=D$3,'11. Water - Capex Input'!$J106,0)</f>
        <v>323764.42999999993</v>
      </c>
      <c r="E680" s="30">
        <f>IF('11. Water - Capex Input'!$I106=E$3,'11. Water - Capex Input'!$J106,0)</f>
        <v>0</v>
      </c>
      <c r="F680" s="30">
        <f>IF('11. Water - Capex Input'!$I106=F$3,'11. Water - Capex Input'!$J106,0)</f>
        <v>0</v>
      </c>
      <c r="G680" s="30">
        <f>IF('11. Water - Capex Input'!$I106=G$3,'11. Water - Capex Input'!$J106,0)</f>
        <v>0</v>
      </c>
      <c r="H680" s="30">
        <f>IF('11. Water - Capex Input'!$I106=H$3,'11. Water - Capex Input'!$J106,0)</f>
        <v>0</v>
      </c>
    </row>
    <row r="681" spans="2:8">
      <c r="B681" s="152">
        <f t="shared" si="205"/>
        <v>0</v>
      </c>
      <c r="D681" s="30">
        <f>IF('11. Water - Capex Input'!$I107=D$3,'11. Water - Capex Input'!$J107,0)</f>
        <v>0</v>
      </c>
      <c r="E681" s="30">
        <f>IF('11. Water - Capex Input'!$I107=E$3,'11. Water - Capex Input'!$J107,0)</f>
        <v>0</v>
      </c>
      <c r="F681" s="30">
        <f>IF('11. Water - Capex Input'!$I107=F$3,'11. Water - Capex Input'!$J107,0)</f>
        <v>0</v>
      </c>
      <c r="G681" s="30">
        <f>IF('11. Water - Capex Input'!$I107=G$3,'11. Water - Capex Input'!$J107,0)</f>
        <v>0</v>
      </c>
      <c r="H681" s="30">
        <f>IF('11. Water - Capex Input'!$I107=H$3,'11. Water - Capex Input'!$J107,0)</f>
        <v>307183</v>
      </c>
    </row>
    <row r="682" spans="2:8">
      <c r="B682" s="152">
        <f t="shared" si="205"/>
        <v>0</v>
      </c>
      <c r="D682" s="30">
        <f>IF('11. Water - Capex Input'!$I108=D$3,'11. Water - Capex Input'!$J108,0)</f>
        <v>0</v>
      </c>
      <c r="E682" s="30">
        <f>IF('11. Water - Capex Input'!$I108=E$3,'11. Water - Capex Input'!$J108,0)</f>
        <v>0</v>
      </c>
      <c r="F682" s="30">
        <f>IF('11. Water - Capex Input'!$I108=F$3,'11. Water - Capex Input'!$J108,0)</f>
        <v>0</v>
      </c>
      <c r="G682" s="30">
        <f>IF('11. Water - Capex Input'!$I108=G$3,'11. Water - Capex Input'!$J108,0)</f>
        <v>0</v>
      </c>
      <c r="H682" s="30">
        <f>IF('11. Water - Capex Input'!$I108=H$3,'11. Water - Capex Input'!$J108,0)</f>
        <v>307183</v>
      </c>
    </row>
    <row r="683" spans="2:8">
      <c r="B683" s="152">
        <f t="shared" si="205"/>
        <v>0</v>
      </c>
      <c r="D683" s="30">
        <f>IF('11. Water - Capex Input'!$I109=D$3,'11. Water - Capex Input'!$J109,0)</f>
        <v>6588.7100000000009</v>
      </c>
      <c r="E683" s="30">
        <f>IF('11. Water - Capex Input'!$I109=E$3,'11. Water - Capex Input'!$J109,0)</f>
        <v>0</v>
      </c>
      <c r="F683" s="30">
        <f>IF('11. Water - Capex Input'!$I109=F$3,'11. Water - Capex Input'!$J109,0)</f>
        <v>0</v>
      </c>
      <c r="G683" s="30">
        <f>IF('11. Water - Capex Input'!$I109=G$3,'11. Water - Capex Input'!$J109,0)</f>
        <v>0</v>
      </c>
      <c r="H683" s="30">
        <f>IF('11. Water - Capex Input'!$I109=H$3,'11. Water - Capex Input'!$J109,0)</f>
        <v>0</v>
      </c>
    </row>
    <row r="684" spans="2:8">
      <c r="B684" s="152">
        <f t="shared" si="205"/>
        <v>0</v>
      </c>
      <c r="D684" s="30">
        <f>IF('11. Water - Capex Input'!$I110=D$3,'11. Water - Capex Input'!$J110,0)</f>
        <v>0</v>
      </c>
      <c r="E684" s="30">
        <f>IF('11. Water - Capex Input'!$I110=E$3,'11. Water - Capex Input'!$J110,0)</f>
        <v>150352</v>
      </c>
      <c r="F684" s="30">
        <f>IF('11. Water - Capex Input'!$I110=F$3,'11. Water - Capex Input'!$J110,0)</f>
        <v>0</v>
      </c>
      <c r="G684" s="30">
        <f>IF('11. Water - Capex Input'!$I110=G$3,'11. Water - Capex Input'!$J110,0)</f>
        <v>0</v>
      </c>
      <c r="H684" s="30">
        <f>IF('11. Water - Capex Input'!$I110=H$3,'11. Water - Capex Input'!$J110,0)</f>
        <v>0</v>
      </c>
    </row>
    <row r="685" spans="2:8">
      <c r="B685" s="152">
        <f t="shared" si="205"/>
        <v>0</v>
      </c>
      <c r="D685" s="30">
        <f>IF('11. Water - Capex Input'!$I111=D$3,'11. Water - Capex Input'!$J111,0)</f>
        <v>0</v>
      </c>
      <c r="E685" s="30">
        <f>IF('11. Water - Capex Input'!$I111=E$3,'11. Water - Capex Input'!$J111,0)</f>
        <v>0</v>
      </c>
      <c r="F685" s="30">
        <f>IF('11. Water - Capex Input'!$I111=F$3,'11. Water - Capex Input'!$J111,0)</f>
        <v>0</v>
      </c>
      <c r="G685" s="30">
        <f>IF('11. Water - Capex Input'!$I111=G$3,'11. Water - Capex Input'!$J111,0)</f>
        <v>0</v>
      </c>
      <c r="H685" s="30">
        <f>IF('11. Water - Capex Input'!$I111=H$3,'11. Water - Capex Input'!$J111,0)</f>
        <v>142876</v>
      </c>
    </row>
    <row r="686" spans="2:8">
      <c r="B686" s="152">
        <f t="shared" si="205"/>
        <v>0</v>
      </c>
      <c r="D686" s="30">
        <f>IF('11. Water - Capex Input'!$I112=D$3,'11. Water - Capex Input'!$J112,0)</f>
        <v>142399.21000000002</v>
      </c>
      <c r="E686" s="30">
        <f>IF('11. Water - Capex Input'!$I112=E$3,'11. Water - Capex Input'!$J112,0)</f>
        <v>0</v>
      </c>
      <c r="F686" s="30">
        <f>IF('11. Water - Capex Input'!$I112=F$3,'11. Water - Capex Input'!$J112,0)</f>
        <v>0</v>
      </c>
      <c r="G686" s="30">
        <f>IF('11. Water - Capex Input'!$I112=G$3,'11. Water - Capex Input'!$J112,0)</f>
        <v>0</v>
      </c>
      <c r="H686" s="30">
        <f>IF('11. Water - Capex Input'!$I112=H$3,'11. Water - Capex Input'!$J112,0)</f>
        <v>0</v>
      </c>
    </row>
    <row r="687" spans="2:8">
      <c r="B687" s="152">
        <f t="shared" si="205"/>
        <v>0</v>
      </c>
      <c r="D687" s="30">
        <f>IF('11. Water - Capex Input'!$I113=D$3,'11. Water - Capex Input'!$J113,0)</f>
        <v>24808.75</v>
      </c>
      <c r="E687" s="30">
        <f>IF('11. Water - Capex Input'!$I113=E$3,'11. Water - Capex Input'!$J113,0)</f>
        <v>0</v>
      </c>
      <c r="F687" s="30">
        <f>IF('11. Water - Capex Input'!$I113=F$3,'11. Water - Capex Input'!$J113,0)</f>
        <v>0</v>
      </c>
      <c r="G687" s="30">
        <f>IF('11. Water - Capex Input'!$I113=G$3,'11. Water - Capex Input'!$J113,0)</f>
        <v>0</v>
      </c>
      <c r="H687" s="30">
        <f>IF('11. Water - Capex Input'!$I113=H$3,'11. Water - Capex Input'!$J113,0)</f>
        <v>0</v>
      </c>
    </row>
    <row r="688" spans="2:8">
      <c r="B688" s="152">
        <f t="shared" si="205"/>
        <v>0</v>
      </c>
      <c r="D688" s="30">
        <f>IF('11. Water - Capex Input'!$I114=D$3,'11. Water - Capex Input'!$J114,0)</f>
        <v>0</v>
      </c>
      <c r="E688" s="30">
        <f>IF('11. Water - Capex Input'!$I114=E$3,'11. Water - Capex Input'!$J114,0)</f>
        <v>215000</v>
      </c>
      <c r="F688" s="30">
        <f>IF('11. Water - Capex Input'!$I114=F$3,'11. Water - Capex Input'!$J114,0)</f>
        <v>0</v>
      </c>
      <c r="G688" s="30">
        <f>IF('11. Water - Capex Input'!$I114=G$3,'11. Water - Capex Input'!$J114,0)</f>
        <v>0</v>
      </c>
      <c r="H688" s="30">
        <f>IF('11. Water - Capex Input'!$I114=H$3,'11. Water - Capex Input'!$J114,0)</f>
        <v>0</v>
      </c>
    </row>
    <row r="689" spans="2:8">
      <c r="B689" s="152">
        <f t="shared" si="205"/>
        <v>0</v>
      </c>
      <c r="D689" s="30">
        <f>IF('11. Water - Capex Input'!$I115=D$3,'11. Water - Capex Input'!$J115,0)</f>
        <v>575003.31999999995</v>
      </c>
      <c r="E689" s="30">
        <f>IF('11. Water - Capex Input'!$I115=E$3,'11. Water - Capex Input'!$J115,0)</f>
        <v>0</v>
      </c>
      <c r="F689" s="30">
        <f>IF('11. Water - Capex Input'!$I115=F$3,'11. Water - Capex Input'!$J115,0)</f>
        <v>0</v>
      </c>
      <c r="G689" s="30">
        <f>IF('11. Water - Capex Input'!$I115=G$3,'11. Water - Capex Input'!$J115,0)</f>
        <v>0</v>
      </c>
      <c r="H689" s="30">
        <f>IF('11. Water - Capex Input'!$I115=H$3,'11. Water - Capex Input'!$J115,0)</f>
        <v>0</v>
      </c>
    </row>
    <row r="690" spans="2:8">
      <c r="B690" s="152">
        <f t="shared" si="205"/>
        <v>0</v>
      </c>
      <c r="D690" s="30">
        <f>IF('11. Water - Capex Input'!$I116=D$3,'11. Water - Capex Input'!$J116,0)</f>
        <v>0</v>
      </c>
      <c r="E690" s="30">
        <f>IF('11. Water - Capex Input'!$I116=E$3,'11. Water - Capex Input'!$J116,0)</f>
        <v>419500.00000000006</v>
      </c>
      <c r="F690" s="30">
        <f>IF('11. Water - Capex Input'!$I116=F$3,'11. Water - Capex Input'!$J116,0)</f>
        <v>0</v>
      </c>
      <c r="G690" s="30">
        <f>IF('11. Water - Capex Input'!$I116=G$3,'11. Water - Capex Input'!$J116,0)</f>
        <v>0</v>
      </c>
      <c r="H690" s="30">
        <f>IF('11. Water - Capex Input'!$I116=H$3,'11. Water - Capex Input'!$J116,0)</f>
        <v>0</v>
      </c>
    </row>
    <row r="691" spans="2:8">
      <c r="B691" s="152">
        <f t="shared" si="205"/>
        <v>0</v>
      </c>
      <c r="D691" s="30">
        <f>IF('11. Water - Capex Input'!$I117=D$3,'11. Water - Capex Input'!$J117,0)</f>
        <v>0</v>
      </c>
      <c r="E691" s="30">
        <f>IF('11. Water - Capex Input'!$I117=E$3,'11. Water - Capex Input'!$J117,0)</f>
        <v>0</v>
      </c>
      <c r="F691" s="30">
        <f>IF('11. Water - Capex Input'!$I117=F$3,'11. Water - Capex Input'!$J117,0)</f>
        <v>450000</v>
      </c>
      <c r="G691" s="30">
        <f>IF('11. Water - Capex Input'!$I117=G$3,'11. Water - Capex Input'!$J117,0)</f>
        <v>0</v>
      </c>
      <c r="H691" s="30">
        <f>IF('11. Water - Capex Input'!$I117=H$3,'11. Water - Capex Input'!$J117,0)</f>
        <v>0</v>
      </c>
    </row>
    <row r="692" spans="2:8">
      <c r="B692" s="152">
        <f t="shared" si="205"/>
        <v>0</v>
      </c>
      <c r="D692" s="30">
        <f>IF('11. Water - Capex Input'!$I118=D$3,'11. Water - Capex Input'!$J118,0)</f>
        <v>0</v>
      </c>
      <c r="E692" s="30">
        <f>IF('11. Water - Capex Input'!$I118=E$3,'11. Water - Capex Input'!$J118,0)</f>
        <v>0</v>
      </c>
      <c r="F692" s="30">
        <f>IF('11. Water - Capex Input'!$I118=F$3,'11. Water - Capex Input'!$J118,0)</f>
        <v>0</v>
      </c>
      <c r="G692" s="30">
        <f>IF('11. Water - Capex Input'!$I118=G$3,'11. Water - Capex Input'!$J118,0)</f>
        <v>450000</v>
      </c>
      <c r="H692" s="30">
        <f>IF('11. Water - Capex Input'!$I118=H$3,'11. Water - Capex Input'!$J118,0)</f>
        <v>0</v>
      </c>
    </row>
    <row r="693" spans="2:8">
      <c r="B693" s="152">
        <f t="shared" si="205"/>
        <v>0</v>
      </c>
      <c r="D693" s="30">
        <f>IF('11. Water - Capex Input'!$I119=D$3,'11. Water - Capex Input'!$J119,0)</f>
        <v>0</v>
      </c>
      <c r="E693" s="30">
        <f>IF('11. Water - Capex Input'!$I119=E$3,'11. Water - Capex Input'!$J119,0)</f>
        <v>0</v>
      </c>
      <c r="F693" s="30">
        <f>IF('11. Water - Capex Input'!$I119=F$3,'11. Water - Capex Input'!$J119,0)</f>
        <v>0</v>
      </c>
      <c r="G693" s="30">
        <f>IF('11. Water - Capex Input'!$I119=G$3,'11. Water - Capex Input'!$J119,0)</f>
        <v>0</v>
      </c>
      <c r="H693" s="30">
        <f>IF('11. Water - Capex Input'!$I119=H$3,'11. Water - Capex Input'!$J119,0)</f>
        <v>450000</v>
      </c>
    </row>
    <row r="694" spans="2:8">
      <c r="B694" s="152">
        <f t="shared" si="205"/>
        <v>0</v>
      </c>
      <c r="D694" s="30">
        <f>IF('11. Water - Capex Input'!$I120=D$3,'11. Water - Capex Input'!$J120,0)</f>
        <v>495012.7</v>
      </c>
      <c r="E694" s="30">
        <f>IF('11. Water - Capex Input'!$I120=E$3,'11. Water - Capex Input'!$J120,0)</f>
        <v>0</v>
      </c>
      <c r="F694" s="30">
        <f>IF('11. Water - Capex Input'!$I120=F$3,'11. Water - Capex Input'!$J120,0)</f>
        <v>0</v>
      </c>
      <c r="G694" s="30">
        <f>IF('11. Water - Capex Input'!$I120=G$3,'11. Water - Capex Input'!$J120,0)</f>
        <v>0</v>
      </c>
      <c r="H694" s="30">
        <f>IF('11. Water - Capex Input'!$I120=H$3,'11. Water - Capex Input'!$J120,0)</f>
        <v>0</v>
      </c>
    </row>
    <row r="695" spans="2:8">
      <c r="B695" s="152">
        <f t="shared" si="205"/>
        <v>0</v>
      </c>
      <c r="D695" s="30">
        <f>IF('11. Water - Capex Input'!$I121=D$3,'11. Water - Capex Input'!$J121,0)</f>
        <v>769424.4700000002</v>
      </c>
      <c r="E695" s="30">
        <f>IF('11. Water - Capex Input'!$I121=E$3,'11. Water - Capex Input'!$J121,0)</f>
        <v>0</v>
      </c>
      <c r="F695" s="30">
        <f>IF('11. Water - Capex Input'!$I121=F$3,'11. Water - Capex Input'!$J121,0)</f>
        <v>0</v>
      </c>
      <c r="G695" s="30">
        <f>IF('11. Water - Capex Input'!$I121=G$3,'11. Water - Capex Input'!$J121,0)</f>
        <v>0</v>
      </c>
      <c r="H695" s="30">
        <f>IF('11. Water - Capex Input'!$I121=H$3,'11. Water - Capex Input'!$J121,0)</f>
        <v>0</v>
      </c>
    </row>
    <row r="696" spans="2:8">
      <c r="B696" s="152">
        <f t="shared" si="205"/>
        <v>0</v>
      </c>
      <c r="D696" s="30">
        <f>IF('11. Water - Capex Input'!$I122=D$3,'11. Water - Capex Input'!$J122,0)</f>
        <v>0</v>
      </c>
      <c r="E696" s="30">
        <f>IF('11. Water - Capex Input'!$I122=E$3,'11. Water - Capex Input'!$J122,0)</f>
        <v>488999.66</v>
      </c>
      <c r="F696" s="30">
        <f>IF('11. Water - Capex Input'!$I122=F$3,'11. Water - Capex Input'!$J122,0)</f>
        <v>0</v>
      </c>
      <c r="G696" s="30">
        <f>IF('11. Water - Capex Input'!$I122=G$3,'11. Water - Capex Input'!$J122,0)</f>
        <v>0</v>
      </c>
      <c r="H696" s="30">
        <f>IF('11. Water - Capex Input'!$I122=H$3,'11. Water - Capex Input'!$J122,0)</f>
        <v>0</v>
      </c>
    </row>
    <row r="697" spans="2:8">
      <c r="B697" s="152">
        <f t="shared" si="205"/>
        <v>0</v>
      </c>
      <c r="D697" s="30">
        <f>IF('11. Water - Capex Input'!$I123=D$3,'11. Water - Capex Input'!$J123,0)</f>
        <v>-3148.9900000000007</v>
      </c>
      <c r="E697" s="30">
        <f>IF('11. Water - Capex Input'!$I123=E$3,'11. Water - Capex Input'!$J123,0)</f>
        <v>0</v>
      </c>
      <c r="F697" s="30">
        <f>IF('11. Water - Capex Input'!$I123=F$3,'11. Water - Capex Input'!$J123,0)</f>
        <v>0</v>
      </c>
      <c r="G697" s="30">
        <f>IF('11. Water - Capex Input'!$I123=G$3,'11. Water - Capex Input'!$J123,0)</f>
        <v>0</v>
      </c>
      <c r="H697" s="30">
        <f>IF('11. Water - Capex Input'!$I123=H$3,'11. Water - Capex Input'!$J123,0)</f>
        <v>0</v>
      </c>
    </row>
    <row r="698" spans="2:8">
      <c r="B698" s="152">
        <f t="shared" si="205"/>
        <v>0</v>
      </c>
      <c r="D698" s="30">
        <f>IF('11. Water - Capex Input'!$I124=D$3,'11. Water - Capex Input'!$J124,0)</f>
        <v>260153.26</v>
      </c>
      <c r="E698" s="30">
        <f>IF('11. Water - Capex Input'!$I124=E$3,'11. Water - Capex Input'!$J124,0)</f>
        <v>0</v>
      </c>
      <c r="F698" s="30">
        <f>IF('11. Water - Capex Input'!$I124=F$3,'11. Water - Capex Input'!$J124,0)</f>
        <v>0</v>
      </c>
      <c r="G698" s="30">
        <f>IF('11. Water - Capex Input'!$I124=G$3,'11. Water - Capex Input'!$J124,0)</f>
        <v>0</v>
      </c>
      <c r="H698" s="30">
        <f>IF('11. Water - Capex Input'!$I124=H$3,'11. Water - Capex Input'!$J124,0)</f>
        <v>0</v>
      </c>
    </row>
    <row r="699" spans="2:8">
      <c r="B699" s="152">
        <f t="shared" si="205"/>
        <v>0</v>
      </c>
      <c r="D699" s="30">
        <f>IF('11. Water - Capex Input'!$I125=D$3,'11. Water - Capex Input'!$J125,0)</f>
        <v>9476.73</v>
      </c>
      <c r="E699" s="30">
        <f>IF('11. Water - Capex Input'!$I125=E$3,'11. Water - Capex Input'!$J125,0)</f>
        <v>0</v>
      </c>
      <c r="F699" s="30">
        <f>IF('11. Water - Capex Input'!$I125=F$3,'11. Water - Capex Input'!$J125,0)</f>
        <v>0</v>
      </c>
      <c r="G699" s="30">
        <f>IF('11. Water - Capex Input'!$I125=G$3,'11. Water - Capex Input'!$J125,0)</f>
        <v>0</v>
      </c>
      <c r="H699" s="30">
        <f>IF('11. Water - Capex Input'!$I125=H$3,'11. Water - Capex Input'!$J125,0)</f>
        <v>0</v>
      </c>
    </row>
    <row r="700" spans="2:8">
      <c r="B700" s="152">
        <f t="shared" si="205"/>
        <v>0</v>
      </c>
      <c r="D700" s="30">
        <f>IF('11. Water - Capex Input'!$I126=D$3,'11. Water - Capex Input'!$J126,0)</f>
        <v>50836.240000000005</v>
      </c>
      <c r="E700" s="30">
        <f>IF('11. Water - Capex Input'!$I126=E$3,'11. Water - Capex Input'!$J126,0)</f>
        <v>0</v>
      </c>
      <c r="F700" s="30">
        <f>IF('11. Water - Capex Input'!$I126=F$3,'11. Water - Capex Input'!$J126,0)</f>
        <v>0</v>
      </c>
      <c r="G700" s="30">
        <f>IF('11. Water - Capex Input'!$I126=G$3,'11. Water - Capex Input'!$J126,0)</f>
        <v>0</v>
      </c>
      <c r="H700" s="30">
        <f>IF('11. Water - Capex Input'!$I126=H$3,'11. Water - Capex Input'!$J126,0)</f>
        <v>0</v>
      </c>
    </row>
    <row r="701" spans="2:8">
      <c r="B701" s="152">
        <f t="shared" si="205"/>
        <v>0</v>
      </c>
      <c r="D701" s="30">
        <f>IF('11. Water - Capex Input'!$I127=D$3,'11. Water - Capex Input'!$J127,0)</f>
        <v>-50136.51</v>
      </c>
      <c r="E701" s="30">
        <f>IF('11. Water - Capex Input'!$I127=E$3,'11. Water - Capex Input'!$J127,0)</f>
        <v>0</v>
      </c>
      <c r="F701" s="30">
        <f>IF('11. Water - Capex Input'!$I127=F$3,'11. Water - Capex Input'!$J127,0)</f>
        <v>0</v>
      </c>
      <c r="G701" s="30">
        <f>IF('11. Water - Capex Input'!$I127=G$3,'11. Water - Capex Input'!$J127,0)</f>
        <v>0</v>
      </c>
      <c r="H701" s="30">
        <f>IF('11. Water - Capex Input'!$I127=H$3,'11. Water - Capex Input'!$J127,0)</f>
        <v>0</v>
      </c>
    </row>
    <row r="702" spans="2:8">
      <c r="B702" s="152">
        <f t="shared" si="205"/>
        <v>0</v>
      </c>
      <c r="D702" s="30">
        <f>IF('11. Water - Capex Input'!$I128=D$3,'11. Water - Capex Input'!$J128,0)</f>
        <v>0</v>
      </c>
      <c r="E702" s="30">
        <f>IF('11. Water - Capex Input'!$I128=E$3,'11. Water - Capex Input'!$J128,0)</f>
        <v>409479</v>
      </c>
      <c r="F702" s="30">
        <f>IF('11. Water - Capex Input'!$I128=F$3,'11. Water - Capex Input'!$J128,0)</f>
        <v>0</v>
      </c>
      <c r="G702" s="30">
        <f>IF('11. Water - Capex Input'!$I128=G$3,'11. Water - Capex Input'!$J128,0)</f>
        <v>0</v>
      </c>
      <c r="H702" s="30">
        <f>IF('11. Water - Capex Input'!$I128=H$3,'11. Water - Capex Input'!$J128,0)</f>
        <v>0</v>
      </c>
    </row>
    <row r="703" spans="2:8">
      <c r="B703" s="152">
        <f t="shared" si="205"/>
        <v>0</v>
      </c>
      <c r="D703" s="30">
        <f>IF('11. Water - Capex Input'!$I129=D$3,'11. Water - Capex Input'!$J129,0)</f>
        <v>3174.2599999999998</v>
      </c>
      <c r="E703" s="30">
        <f>IF('11. Water - Capex Input'!$I129=E$3,'11. Water - Capex Input'!$J129,0)</f>
        <v>0</v>
      </c>
      <c r="F703" s="30">
        <f>IF('11. Water - Capex Input'!$I129=F$3,'11. Water - Capex Input'!$J129,0)</f>
        <v>0</v>
      </c>
      <c r="G703" s="30">
        <f>IF('11. Water - Capex Input'!$I129=G$3,'11. Water - Capex Input'!$J129,0)</f>
        <v>0</v>
      </c>
      <c r="H703" s="30">
        <f>IF('11. Water - Capex Input'!$I129=H$3,'11. Water - Capex Input'!$J129,0)</f>
        <v>0</v>
      </c>
    </row>
    <row r="704" spans="2:8">
      <c r="B704" s="152">
        <f t="shared" si="205"/>
        <v>0</v>
      </c>
      <c r="D704" s="30">
        <f>IF('11. Water - Capex Input'!$I130=D$3,'11. Water - Capex Input'!$J130,0)</f>
        <v>160197.28</v>
      </c>
      <c r="E704" s="30">
        <f>IF('11. Water - Capex Input'!$I130=E$3,'11. Water - Capex Input'!$J130,0)</f>
        <v>0</v>
      </c>
      <c r="F704" s="30">
        <f>IF('11. Water - Capex Input'!$I130=F$3,'11. Water - Capex Input'!$J130,0)</f>
        <v>0</v>
      </c>
      <c r="G704" s="30">
        <f>IF('11. Water - Capex Input'!$I130=G$3,'11. Water - Capex Input'!$J130,0)</f>
        <v>0</v>
      </c>
      <c r="H704" s="30">
        <f>IF('11. Water - Capex Input'!$I130=H$3,'11. Water - Capex Input'!$J130,0)</f>
        <v>0</v>
      </c>
    </row>
    <row r="705" spans="2:8">
      <c r="B705" s="152">
        <f t="shared" si="205"/>
        <v>0</v>
      </c>
      <c r="D705" s="30">
        <f>IF('11. Water - Capex Input'!$I131=D$3,'11. Water - Capex Input'!$J131,0)</f>
        <v>0</v>
      </c>
      <c r="E705" s="30">
        <f>IF('11. Water - Capex Input'!$I131=E$3,'11. Water - Capex Input'!$J131,0)</f>
        <v>66823.899999999994</v>
      </c>
      <c r="F705" s="30">
        <f>IF('11. Water - Capex Input'!$I131=F$3,'11. Water - Capex Input'!$J131,0)</f>
        <v>0</v>
      </c>
      <c r="G705" s="30">
        <f>IF('11. Water - Capex Input'!$I131=G$3,'11. Water - Capex Input'!$J131,0)</f>
        <v>0</v>
      </c>
      <c r="H705" s="30">
        <f>IF('11. Water - Capex Input'!$I131=H$3,'11. Water - Capex Input'!$J131,0)</f>
        <v>0</v>
      </c>
    </row>
    <row r="706" spans="2:8">
      <c r="B706" s="152">
        <f t="shared" si="205"/>
        <v>0</v>
      </c>
      <c r="D706" s="30">
        <f>IF('11. Water - Capex Input'!$I132=D$3,'11. Water - Capex Input'!$J132,0)</f>
        <v>261960.7</v>
      </c>
      <c r="E706" s="30">
        <f>IF('11. Water - Capex Input'!$I132=E$3,'11. Water - Capex Input'!$J132,0)</f>
        <v>0</v>
      </c>
      <c r="F706" s="30">
        <f>IF('11. Water - Capex Input'!$I132=F$3,'11. Water - Capex Input'!$J132,0)</f>
        <v>0</v>
      </c>
      <c r="G706" s="30">
        <f>IF('11. Water - Capex Input'!$I132=G$3,'11. Water - Capex Input'!$J132,0)</f>
        <v>0</v>
      </c>
      <c r="H706" s="30">
        <f>IF('11. Water - Capex Input'!$I132=H$3,'11. Water - Capex Input'!$J132,0)</f>
        <v>0</v>
      </c>
    </row>
    <row r="707" spans="2:8">
      <c r="B707" s="152">
        <f t="shared" ref="B707:B710" si="206">B521</f>
        <v>0</v>
      </c>
      <c r="D707" s="30">
        <f>IF('11. Water - Capex Input'!$I133=D$3,'11. Water - Capex Input'!$J133,0)</f>
        <v>0</v>
      </c>
      <c r="E707" s="30">
        <f>IF('11. Water - Capex Input'!$I133=E$3,'11. Water - Capex Input'!$J133,0)</f>
        <v>-13278.110000000011</v>
      </c>
      <c r="F707" s="30">
        <f>IF('11. Water - Capex Input'!$I133=F$3,'11. Water - Capex Input'!$J133,0)</f>
        <v>0</v>
      </c>
      <c r="G707" s="30">
        <f>IF('11. Water - Capex Input'!$I133=G$3,'11. Water - Capex Input'!$J133,0)</f>
        <v>0</v>
      </c>
      <c r="H707" s="30">
        <f>IF('11. Water - Capex Input'!$I133=H$3,'11. Water - Capex Input'!$J133,0)</f>
        <v>0</v>
      </c>
    </row>
    <row r="708" spans="2:8">
      <c r="B708" s="152">
        <f t="shared" si="206"/>
        <v>0</v>
      </c>
      <c r="D708" s="30">
        <f>IF('11. Water - Capex Input'!$I134=D$3,'11. Water - Capex Input'!$J134,0)</f>
        <v>-531.6</v>
      </c>
      <c r="E708" s="30">
        <f>IF('11. Water - Capex Input'!$I134=E$3,'11. Water - Capex Input'!$J134,0)</f>
        <v>0</v>
      </c>
      <c r="F708" s="30">
        <f>IF('11. Water - Capex Input'!$I134=F$3,'11. Water - Capex Input'!$J134,0)</f>
        <v>0</v>
      </c>
      <c r="G708" s="30">
        <f>IF('11. Water - Capex Input'!$I134=G$3,'11. Water - Capex Input'!$J134,0)</f>
        <v>0</v>
      </c>
      <c r="H708" s="30">
        <f>IF('11. Water - Capex Input'!$I134=H$3,'11. Water - Capex Input'!$J134,0)</f>
        <v>0</v>
      </c>
    </row>
    <row r="709" spans="2:8">
      <c r="B709" s="152">
        <f t="shared" si="206"/>
        <v>0</v>
      </c>
      <c r="D709" s="30">
        <f>IF('11. Water - Capex Input'!$I135=D$3,'11. Water - Capex Input'!$J135,0)</f>
        <v>19445.509999999998</v>
      </c>
      <c r="E709" s="30">
        <f>IF('11. Water - Capex Input'!$I135=E$3,'11. Water - Capex Input'!$J135,0)</f>
        <v>0</v>
      </c>
      <c r="F709" s="30">
        <f>IF('11. Water - Capex Input'!$I135=F$3,'11. Water - Capex Input'!$J135,0)</f>
        <v>0</v>
      </c>
      <c r="G709" s="30">
        <f>IF('11. Water - Capex Input'!$I135=G$3,'11. Water - Capex Input'!$J135,0)</f>
        <v>0</v>
      </c>
      <c r="H709" s="30">
        <f>IF('11. Water - Capex Input'!$I135=H$3,'11. Water - Capex Input'!$J135,0)</f>
        <v>0</v>
      </c>
    </row>
    <row r="710" spans="2:8">
      <c r="B710" s="152">
        <f t="shared" si="206"/>
        <v>0</v>
      </c>
      <c r="D710" s="30">
        <f>IF('11. Water - Capex Input'!$I136=D$3,'11. Water - Capex Input'!$J136,0)</f>
        <v>3849</v>
      </c>
      <c r="E710" s="30">
        <f>IF('11. Water - Capex Input'!$I136=E$3,'11. Water - Capex Input'!$J136,0)</f>
        <v>0</v>
      </c>
      <c r="F710" s="30">
        <f>IF('11. Water - Capex Input'!$I136=F$3,'11. Water - Capex Input'!$J136,0)</f>
        <v>0</v>
      </c>
      <c r="G710" s="30">
        <f>IF('11. Water - Capex Input'!$I136=G$3,'11. Water - Capex Input'!$J136,0)</f>
        <v>0</v>
      </c>
      <c r="H710" s="30">
        <f>IF('11. Water - Capex Input'!$I136=H$3,'11. Water - Capex Input'!$J136,0)</f>
        <v>0</v>
      </c>
    </row>
    <row r="711" spans="2:8">
      <c r="B711" s="152">
        <f t="shared" ref="B711:B761" si="207">B525</f>
        <v>0</v>
      </c>
      <c r="D711" s="30">
        <f>IF('11. Water - Capex Input'!$I137=D$3,'11. Water - Capex Input'!$J137,0)</f>
        <v>0</v>
      </c>
      <c r="E711" s="30">
        <f>IF('11. Water - Capex Input'!$I137=E$3,'11. Water - Capex Input'!$J137,0)</f>
        <v>1120.33</v>
      </c>
      <c r="F711" s="30">
        <f>IF('11. Water - Capex Input'!$I137=F$3,'11. Water - Capex Input'!$J137,0)</f>
        <v>0</v>
      </c>
      <c r="G711" s="30">
        <f>IF('11. Water - Capex Input'!$I137=G$3,'11. Water - Capex Input'!$J137,0)</f>
        <v>0</v>
      </c>
      <c r="H711" s="30">
        <f>IF('11. Water - Capex Input'!$I137=H$3,'11. Water - Capex Input'!$J137,0)</f>
        <v>0</v>
      </c>
    </row>
    <row r="712" spans="2:8">
      <c r="B712" s="152">
        <f t="shared" si="207"/>
        <v>0</v>
      </c>
      <c r="D712" s="30">
        <f>IF('11. Water - Capex Input'!$I138=D$3,'11. Water - Capex Input'!$J138,0)</f>
        <v>0</v>
      </c>
      <c r="E712" s="30">
        <f>IF('11. Water - Capex Input'!$I138=E$3,'11. Water - Capex Input'!$J138,0)</f>
        <v>0</v>
      </c>
      <c r="F712" s="30">
        <f>IF('11. Water - Capex Input'!$I138=F$3,'11. Water - Capex Input'!$J138,0)</f>
        <v>5000</v>
      </c>
      <c r="G712" s="30">
        <f>IF('11. Water - Capex Input'!$I138=G$3,'11. Water - Capex Input'!$J138,0)</f>
        <v>0</v>
      </c>
      <c r="H712" s="30">
        <f>IF('11. Water - Capex Input'!$I138=H$3,'11. Water - Capex Input'!$J138,0)</f>
        <v>0</v>
      </c>
    </row>
    <row r="713" spans="2:8">
      <c r="B713" s="152">
        <f t="shared" si="207"/>
        <v>0</v>
      </c>
      <c r="D713" s="30">
        <f>IF('11. Water - Capex Input'!$I139=D$3,'11. Water - Capex Input'!$J139,0)</f>
        <v>0</v>
      </c>
      <c r="E713" s="30">
        <f>IF('11. Water - Capex Input'!$I139=E$3,'11. Water - Capex Input'!$J139,0)</f>
        <v>0</v>
      </c>
      <c r="F713" s="30">
        <f>IF('11. Water - Capex Input'!$I139=F$3,'11. Water - Capex Input'!$J139,0)</f>
        <v>0</v>
      </c>
      <c r="G713" s="30">
        <f>IF('11. Water - Capex Input'!$I139=G$3,'11. Water - Capex Input'!$J139,0)</f>
        <v>5000</v>
      </c>
      <c r="H713" s="30">
        <f>IF('11. Water - Capex Input'!$I139=H$3,'11. Water - Capex Input'!$J139,0)</f>
        <v>0</v>
      </c>
    </row>
    <row r="714" spans="2:8">
      <c r="B714" s="152">
        <f t="shared" si="207"/>
        <v>0</v>
      </c>
      <c r="D714" s="30">
        <f>IF('11. Water - Capex Input'!$I140=D$3,'11. Water - Capex Input'!$J140,0)</f>
        <v>0</v>
      </c>
      <c r="E714" s="30">
        <f>IF('11. Water - Capex Input'!$I140=E$3,'11. Water - Capex Input'!$J140,0)</f>
        <v>0</v>
      </c>
      <c r="F714" s="30">
        <f>IF('11. Water - Capex Input'!$I140=F$3,'11. Water - Capex Input'!$J140,0)</f>
        <v>0</v>
      </c>
      <c r="G714" s="30">
        <f>IF('11. Water - Capex Input'!$I140=G$3,'11. Water - Capex Input'!$J140,0)</f>
        <v>0</v>
      </c>
      <c r="H714" s="30">
        <f>IF('11. Water - Capex Input'!$I140=H$3,'11. Water - Capex Input'!$J140,0)</f>
        <v>5000</v>
      </c>
    </row>
    <row r="715" spans="2:8">
      <c r="B715" s="152">
        <f t="shared" si="207"/>
        <v>0</v>
      </c>
      <c r="D715" s="30">
        <f>IF('11. Water - Capex Input'!$I141=D$3,'11. Water - Capex Input'!$J141,0)</f>
        <v>321949.7</v>
      </c>
      <c r="E715" s="30">
        <f>IF('11. Water - Capex Input'!$I141=E$3,'11. Water - Capex Input'!$J141,0)</f>
        <v>0</v>
      </c>
      <c r="F715" s="30">
        <f>IF('11. Water - Capex Input'!$I141=F$3,'11. Water - Capex Input'!$J141,0)</f>
        <v>0</v>
      </c>
      <c r="G715" s="30">
        <f>IF('11. Water - Capex Input'!$I141=G$3,'11. Water - Capex Input'!$J141,0)</f>
        <v>0</v>
      </c>
      <c r="H715" s="30">
        <f>IF('11. Water - Capex Input'!$I141=H$3,'11. Water - Capex Input'!$J141,0)</f>
        <v>0</v>
      </c>
    </row>
    <row r="716" spans="2:8">
      <c r="B716" s="152">
        <f t="shared" si="207"/>
        <v>0</v>
      </c>
      <c r="D716" s="30">
        <f>IF('11. Water - Capex Input'!$I142=D$3,'11. Water - Capex Input'!$J142,0)</f>
        <v>0</v>
      </c>
      <c r="E716" s="30">
        <f>IF('11. Water - Capex Input'!$I142=E$3,'11. Water - Capex Input'!$J142,0)</f>
        <v>10404.450000000001</v>
      </c>
      <c r="F716" s="30">
        <f>IF('11. Water - Capex Input'!$I142=F$3,'11. Water - Capex Input'!$J142,0)</f>
        <v>0</v>
      </c>
      <c r="G716" s="30">
        <f>IF('11. Water - Capex Input'!$I142=G$3,'11. Water - Capex Input'!$J142,0)</f>
        <v>0</v>
      </c>
      <c r="H716" s="30">
        <f>IF('11. Water - Capex Input'!$I142=H$3,'11. Water - Capex Input'!$J142,0)</f>
        <v>0</v>
      </c>
    </row>
    <row r="717" spans="2:8">
      <c r="B717" s="152">
        <f t="shared" si="207"/>
        <v>0</v>
      </c>
      <c r="D717" s="30">
        <f>IF('11. Water - Capex Input'!$I143=D$3,'11. Water - Capex Input'!$J143,0)</f>
        <v>72851.210000000006</v>
      </c>
      <c r="E717" s="30">
        <f>IF('11. Water - Capex Input'!$I143=E$3,'11. Water - Capex Input'!$J143,0)</f>
        <v>0</v>
      </c>
      <c r="F717" s="30">
        <f>IF('11. Water - Capex Input'!$I143=F$3,'11. Water - Capex Input'!$J143,0)</f>
        <v>0</v>
      </c>
      <c r="G717" s="30">
        <f>IF('11. Water - Capex Input'!$I143=G$3,'11. Water - Capex Input'!$J143,0)</f>
        <v>0</v>
      </c>
      <c r="H717" s="30">
        <f>IF('11. Water - Capex Input'!$I143=H$3,'11. Water - Capex Input'!$J143,0)</f>
        <v>0</v>
      </c>
    </row>
    <row r="718" spans="2:8">
      <c r="B718" s="152">
        <f t="shared" si="207"/>
        <v>0</v>
      </c>
      <c r="D718" s="30">
        <f>IF('11. Water - Capex Input'!$I144=D$3,'11. Water - Capex Input'!$J144,0)</f>
        <v>0</v>
      </c>
      <c r="E718" s="30">
        <f>IF('11. Water - Capex Input'!$I144=E$3,'11. Water - Capex Input'!$J144,0)</f>
        <v>123750</v>
      </c>
      <c r="F718" s="30">
        <f>IF('11. Water - Capex Input'!$I144=F$3,'11. Water - Capex Input'!$J144,0)</f>
        <v>0</v>
      </c>
      <c r="G718" s="30">
        <f>IF('11. Water - Capex Input'!$I144=G$3,'11. Water - Capex Input'!$J144,0)</f>
        <v>0</v>
      </c>
      <c r="H718" s="30">
        <f>IF('11. Water - Capex Input'!$I144=H$3,'11. Water - Capex Input'!$J144,0)</f>
        <v>0</v>
      </c>
    </row>
    <row r="719" spans="2:8">
      <c r="B719" s="152">
        <f t="shared" si="207"/>
        <v>0</v>
      </c>
      <c r="D719" s="30">
        <f>IF('11. Water - Capex Input'!$I145=D$3,'11. Water - Capex Input'!$J145,0)</f>
        <v>41937.520000000004</v>
      </c>
      <c r="E719" s="30">
        <f>IF('11. Water - Capex Input'!$I145=E$3,'11. Water - Capex Input'!$J145,0)</f>
        <v>0</v>
      </c>
      <c r="F719" s="30">
        <f>IF('11. Water - Capex Input'!$I145=F$3,'11. Water - Capex Input'!$J145,0)</f>
        <v>0</v>
      </c>
      <c r="G719" s="30">
        <f>IF('11. Water - Capex Input'!$I145=G$3,'11. Water - Capex Input'!$J145,0)</f>
        <v>0</v>
      </c>
      <c r="H719" s="30">
        <f>IF('11. Water - Capex Input'!$I145=H$3,'11. Water - Capex Input'!$J145,0)</f>
        <v>0</v>
      </c>
    </row>
    <row r="720" spans="2:8">
      <c r="B720" s="152">
        <f t="shared" si="207"/>
        <v>0</v>
      </c>
      <c r="D720" s="30">
        <f>IF('11. Water - Capex Input'!$I146=D$3,'11. Water - Capex Input'!$J146,0)</f>
        <v>0</v>
      </c>
      <c r="E720" s="30">
        <f>IF('11. Water - Capex Input'!$I146=E$3,'11. Water - Capex Input'!$J146,0)</f>
        <v>270000</v>
      </c>
      <c r="F720" s="30">
        <f>IF('11. Water - Capex Input'!$I146=F$3,'11. Water - Capex Input'!$J146,0)</f>
        <v>0</v>
      </c>
      <c r="G720" s="30">
        <f>IF('11. Water - Capex Input'!$I146=G$3,'11. Water - Capex Input'!$J146,0)</f>
        <v>0</v>
      </c>
      <c r="H720" s="30">
        <f>IF('11. Water - Capex Input'!$I146=H$3,'11. Water - Capex Input'!$J146,0)</f>
        <v>0</v>
      </c>
    </row>
    <row r="721" spans="2:8">
      <c r="B721" s="152">
        <f t="shared" si="207"/>
        <v>0</v>
      </c>
      <c r="D721" s="30">
        <f>IF('11. Water - Capex Input'!$I147=D$3,'11. Water - Capex Input'!$J147,0)</f>
        <v>0</v>
      </c>
      <c r="E721" s="30">
        <f>IF('11. Water - Capex Input'!$I147=E$3,'11. Water - Capex Input'!$J147,0)</f>
        <v>84999</v>
      </c>
      <c r="F721" s="30">
        <f>IF('11. Water - Capex Input'!$I147=F$3,'11. Water - Capex Input'!$J147,0)</f>
        <v>0</v>
      </c>
      <c r="G721" s="30">
        <f>IF('11. Water - Capex Input'!$I147=G$3,'11. Water - Capex Input'!$J147,0)</f>
        <v>0</v>
      </c>
      <c r="H721" s="30">
        <f>IF('11. Water - Capex Input'!$I147=H$3,'11. Water - Capex Input'!$J147,0)</f>
        <v>0</v>
      </c>
    </row>
    <row r="722" spans="2:8">
      <c r="B722" s="152">
        <f t="shared" si="207"/>
        <v>0</v>
      </c>
      <c r="D722" s="30">
        <f>IF('11. Water - Capex Input'!$I148=D$3,'11. Water - Capex Input'!$J148,0)</f>
        <v>102718.1</v>
      </c>
      <c r="E722" s="30">
        <f>IF('11. Water - Capex Input'!$I148=E$3,'11. Water - Capex Input'!$J148,0)</f>
        <v>0</v>
      </c>
      <c r="F722" s="30">
        <f>IF('11. Water - Capex Input'!$I148=F$3,'11. Water - Capex Input'!$J148,0)</f>
        <v>0</v>
      </c>
      <c r="G722" s="30">
        <f>IF('11. Water - Capex Input'!$I148=G$3,'11. Water - Capex Input'!$J148,0)</f>
        <v>0</v>
      </c>
      <c r="H722" s="30">
        <f>IF('11. Water - Capex Input'!$I148=H$3,'11. Water - Capex Input'!$J148,0)</f>
        <v>0</v>
      </c>
    </row>
    <row r="723" spans="2:8">
      <c r="B723" s="152">
        <f t="shared" si="207"/>
        <v>0</v>
      </c>
      <c r="D723" s="30">
        <f>IF('11. Water - Capex Input'!$I149=D$3,'11. Water - Capex Input'!$J149,0)</f>
        <v>0</v>
      </c>
      <c r="E723" s="30">
        <f>IF('11. Water - Capex Input'!$I149=E$3,'11. Water - Capex Input'!$J149,0)</f>
        <v>3455.14</v>
      </c>
      <c r="F723" s="30">
        <f>IF('11. Water - Capex Input'!$I149=F$3,'11. Water - Capex Input'!$J149,0)</f>
        <v>0</v>
      </c>
      <c r="G723" s="30">
        <f>IF('11. Water - Capex Input'!$I149=G$3,'11. Water - Capex Input'!$J149,0)</f>
        <v>0</v>
      </c>
      <c r="H723" s="30">
        <f>IF('11. Water - Capex Input'!$I149=H$3,'11. Water - Capex Input'!$J149,0)</f>
        <v>0</v>
      </c>
    </row>
    <row r="724" spans="2:8">
      <c r="B724" s="152">
        <f t="shared" si="207"/>
        <v>0</v>
      </c>
      <c r="D724" s="30">
        <f>IF('11. Water - Capex Input'!$I150=D$3,'11. Water - Capex Input'!$J150,0)</f>
        <v>158062.97999999998</v>
      </c>
      <c r="E724" s="30">
        <f>IF('11. Water - Capex Input'!$I150=E$3,'11. Water - Capex Input'!$J150,0)</f>
        <v>0</v>
      </c>
      <c r="F724" s="30">
        <f>IF('11. Water - Capex Input'!$I150=F$3,'11. Water - Capex Input'!$J150,0)</f>
        <v>0</v>
      </c>
      <c r="G724" s="30">
        <f>IF('11. Water - Capex Input'!$I150=G$3,'11. Water - Capex Input'!$J150,0)</f>
        <v>0</v>
      </c>
      <c r="H724" s="30">
        <f>IF('11. Water - Capex Input'!$I150=H$3,'11. Water - Capex Input'!$J150,0)</f>
        <v>0</v>
      </c>
    </row>
    <row r="725" spans="2:8">
      <c r="B725" s="152">
        <f t="shared" si="207"/>
        <v>0</v>
      </c>
      <c r="D725" s="30">
        <f>IF('11. Water - Capex Input'!$I151=D$3,'11. Water - Capex Input'!$J151,0)</f>
        <v>0</v>
      </c>
      <c r="E725" s="30">
        <f>IF('11. Water - Capex Input'!$I151=E$3,'11. Water - Capex Input'!$J151,0)</f>
        <v>79058.559999999998</v>
      </c>
      <c r="F725" s="30">
        <f>IF('11. Water - Capex Input'!$I151=F$3,'11. Water - Capex Input'!$J151,0)</f>
        <v>0</v>
      </c>
      <c r="G725" s="30">
        <f>IF('11. Water - Capex Input'!$I151=G$3,'11. Water - Capex Input'!$J151,0)</f>
        <v>0</v>
      </c>
      <c r="H725" s="30">
        <f>IF('11. Water - Capex Input'!$I151=H$3,'11. Water - Capex Input'!$J151,0)</f>
        <v>0</v>
      </c>
    </row>
    <row r="726" spans="2:8">
      <c r="B726" s="152">
        <f t="shared" si="207"/>
        <v>0</v>
      </c>
      <c r="D726" s="30">
        <f>IF('11. Water - Capex Input'!$I152=D$3,'11. Water - Capex Input'!$J152,0)</f>
        <v>218415.54</v>
      </c>
      <c r="E726" s="30">
        <f>IF('11. Water - Capex Input'!$I152=E$3,'11. Water - Capex Input'!$J152,0)</f>
        <v>0</v>
      </c>
      <c r="F726" s="30">
        <f>IF('11. Water - Capex Input'!$I152=F$3,'11. Water - Capex Input'!$J152,0)</f>
        <v>0</v>
      </c>
      <c r="G726" s="30">
        <f>IF('11. Water - Capex Input'!$I152=G$3,'11. Water - Capex Input'!$J152,0)</f>
        <v>0</v>
      </c>
      <c r="H726" s="30">
        <f>IF('11. Water - Capex Input'!$I152=H$3,'11. Water - Capex Input'!$J152,0)</f>
        <v>0</v>
      </c>
    </row>
    <row r="727" spans="2:8">
      <c r="B727" s="152">
        <f t="shared" si="207"/>
        <v>0</v>
      </c>
      <c r="D727" s="30">
        <f>IF('11. Water - Capex Input'!$I153=D$3,'11. Water - Capex Input'!$J153,0)</f>
        <v>0</v>
      </c>
      <c r="E727" s="30">
        <f>IF('11. Water - Capex Input'!$I153=E$3,'11. Water - Capex Input'!$J153,0)</f>
        <v>136000</v>
      </c>
      <c r="F727" s="30">
        <f>IF('11. Water - Capex Input'!$I153=F$3,'11. Water - Capex Input'!$J153,0)</f>
        <v>0</v>
      </c>
      <c r="G727" s="30">
        <f>IF('11. Water - Capex Input'!$I153=G$3,'11. Water - Capex Input'!$J153,0)</f>
        <v>0</v>
      </c>
      <c r="H727" s="30">
        <f>IF('11. Water - Capex Input'!$I153=H$3,'11. Water - Capex Input'!$J153,0)</f>
        <v>0</v>
      </c>
    </row>
    <row r="728" spans="2:8">
      <c r="B728" s="152">
        <f t="shared" si="207"/>
        <v>0</v>
      </c>
      <c r="D728" s="30">
        <f>IF('11. Water - Capex Input'!$I154=D$3,'11. Water - Capex Input'!$J154,0)</f>
        <v>0</v>
      </c>
      <c r="E728" s="30">
        <f>IF('11. Water - Capex Input'!$I154=E$3,'11. Water - Capex Input'!$J154,0)</f>
        <v>235000</v>
      </c>
      <c r="F728" s="30">
        <f>IF('11. Water - Capex Input'!$I154=F$3,'11. Water - Capex Input'!$J154,0)</f>
        <v>0</v>
      </c>
      <c r="G728" s="30">
        <f>IF('11. Water - Capex Input'!$I154=G$3,'11. Water - Capex Input'!$J154,0)</f>
        <v>0</v>
      </c>
      <c r="H728" s="30">
        <f>IF('11. Water - Capex Input'!$I154=H$3,'11. Water - Capex Input'!$J154,0)</f>
        <v>0</v>
      </c>
    </row>
    <row r="729" spans="2:8">
      <c r="B729" s="152">
        <f t="shared" si="207"/>
        <v>0</v>
      </c>
      <c r="D729" s="30">
        <f>IF('11. Water - Capex Input'!$I155=D$3,'11. Water - Capex Input'!$J155,0)</f>
        <v>72038.509999999995</v>
      </c>
      <c r="E729" s="30">
        <f>IF('11. Water - Capex Input'!$I155=E$3,'11. Water - Capex Input'!$J155,0)</f>
        <v>0</v>
      </c>
      <c r="F729" s="30">
        <f>IF('11. Water - Capex Input'!$I155=F$3,'11. Water - Capex Input'!$J155,0)</f>
        <v>0</v>
      </c>
      <c r="G729" s="30">
        <f>IF('11. Water - Capex Input'!$I155=G$3,'11. Water - Capex Input'!$J155,0)</f>
        <v>0</v>
      </c>
      <c r="H729" s="30">
        <f>IF('11. Water - Capex Input'!$I155=H$3,'11. Water - Capex Input'!$J155,0)</f>
        <v>0</v>
      </c>
    </row>
    <row r="730" spans="2:8">
      <c r="B730" s="152">
        <f t="shared" si="207"/>
        <v>0</v>
      </c>
      <c r="D730" s="30">
        <f>IF('11. Water - Capex Input'!$I156=D$3,'11. Water - Capex Input'!$J156,0)</f>
        <v>0</v>
      </c>
      <c r="E730" s="30">
        <f>IF('11. Water - Capex Input'!$I156=E$3,'11. Water - Capex Input'!$J156,0)</f>
        <v>110224.29</v>
      </c>
      <c r="F730" s="30">
        <f>IF('11. Water - Capex Input'!$I156=F$3,'11. Water - Capex Input'!$J156,0)</f>
        <v>0</v>
      </c>
      <c r="G730" s="30">
        <f>IF('11. Water - Capex Input'!$I156=G$3,'11. Water - Capex Input'!$J156,0)</f>
        <v>0</v>
      </c>
      <c r="H730" s="30">
        <f>IF('11. Water - Capex Input'!$I156=H$3,'11. Water - Capex Input'!$J156,0)</f>
        <v>0</v>
      </c>
    </row>
    <row r="731" spans="2:8">
      <c r="B731" s="152">
        <f t="shared" si="207"/>
        <v>0</v>
      </c>
      <c r="D731" s="30">
        <f>IF('11. Water - Capex Input'!$I157=D$3,'11. Water - Capex Input'!$J157,0)</f>
        <v>0</v>
      </c>
      <c r="E731" s="30">
        <f>IF('11. Water - Capex Input'!$I157=E$3,'11. Water - Capex Input'!$J157,0)</f>
        <v>500000</v>
      </c>
      <c r="F731" s="30">
        <f>IF('11. Water - Capex Input'!$I157=F$3,'11. Water - Capex Input'!$J157,0)</f>
        <v>0</v>
      </c>
      <c r="G731" s="30">
        <f>IF('11. Water - Capex Input'!$I157=G$3,'11. Water - Capex Input'!$J157,0)</f>
        <v>0</v>
      </c>
      <c r="H731" s="30">
        <f>IF('11. Water - Capex Input'!$I157=H$3,'11. Water - Capex Input'!$J157,0)</f>
        <v>0</v>
      </c>
    </row>
    <row r="732" spans="2:8">
      <c r="B732" s="152">
        <f t="shared" si="207"/>
        <v>0</v>
      </c>
      <c r="D732" s="30">
        <f>IF('11. Water - Capex Input'!$I158=D$3,'11. Water - Capex Input'!$J158,0)</f>
        <v>545128.82000000007</v>
      </c>
      <c r="E732" s="30">
        <f>IF('11. Water - Capex Input'!$I158=E$3,'11. Water - Capex Input'!$J158,0)</f>
        <v>0</v>
      </c>
      <c r="F732" s="30">
        <f>IF('11. Water - Capex Input'!$I158=F$3,'11. Water - Capex Input'!$J158,0)</f>
        <v>0</v>
      </c>
      <c r="G732" s="30">
        <f>IF('11. Water - Capex Input'!$I158=G$3,'11. Water - Capex Input'!$J158,0)</f>
        <v>0</v>
      </c>
      <c r="H732" s="30">
        <f>IF('11. Water - Capex Input'!$I158=H$3,'11. Water - Capex Input'!$J158,0)</f>
        <v>0</v>
      </c>
    </row>
    <row r="733" spans="2:8">
      <c r="B733" s="152">
        <f t="shared" si="207"/>
        <v>0</v>
      </c>
      <c r="D733" s="30">
        <f>IF('11. Water - Capex Input'!$I159=D$3,'11. Water - Capex Input'!$J159,0)</f>
        <v>0</v>
      </c>
      <c r="E733" s="30">
        <f>IF('11. Water - Capex Input'!$I159=E$3,'11. Water - Capex Input'!$J159,0)</f>
        <v>1813374.46</v>
      </c>
      <c r="F733" s="30">
        <f>IF('11. Water - Capex Input'!$I159=F$3,'11. Water - Capex Input'!$J159,0)</f>
        <v>0</v>
      </c>
      <c r="G733" s="30">
        <f>IF('11. Water - Capex Input'!$I159=G$3,'11. Water - Capex Input'!$J159,0)</f>
        <v>0</v>
      </c>
      <c r="H733" s="30">
        <f>IF('11. Water - Capex Input'!$I159=H$3,'11. Water - Capex Input'!$J159,0)</f>
        <v>0</v>
      </c>
    </row>
    <row r="734" spans="2:8">
      <c r="B734" s="152">
        <f t="shared" si="207"/>
        <v>0</v>
      </c>
      <c r="D734" s="30">
        <f>IF('11. Water - Capex Input'!$I160=D$3,'11. Water - Capex Input'!$J160,0)</f>
        <v>0</v>
      </c>
      <c r="E734" s="30">
        <f>IF('11. Water - Capex Input'!$I160=E$3,'11. Water - Capex Input'!$J160,0)</f>
        <v>160000</v>
      </c>
      <c r="F734" s="30">
        <f>IF('11. Water - Capex Input'!$I160=F$3,'11. Water - Capex Input'!$J160,0)</f>
        <v>0</v>
      </c>
      <c r="G734" s="30">
        <f>IF('11. Water - Capex Input'!$I160=G$3,'11. Water - Capex Input'!$J160,0)</f>
        <v>0</v>
      </c>
      <c r="H734" s="30">
        <f>IF('11. Water - Capex Input'!$I160=H$3,'11. Water - Capex Input'!$J160,0)</f>
        <v>0</v>
      </c>
    </row>
    <row r="735" spans="2:8">
      <c r="B735" s="152">
        <f t="shared" si="207"/>
        <v>0</v>
      </c>
      <c r="D735" s="30">
        <f>IF('11. Water - Capex Input'!$I161=D$3,'11. Water - Capex Input'!$J161,0)</f>
        <v>0</v>
      </c>
      <c r="E735" s="30">
        <f>IF('11. Water - Capex Input'!$I161=E$3,'11. Water - Capex Input'!$J161,0)</f>
        <v>810600.00000000012</v>
      </c>
      <c r="F735" s="30">
        <f>IF('11. Water - Capex Input'!$I161=F$3,'11. Water - Capex Input'!$J161,0)</f>
        <v>0</v>
      </c>
      <c r="G735" s="30">
        <f>IF('11. Water - Capex Input'!$I161=G$3,'11. Water - Capex Input'!$J161,0)</f>
        <v>0</v>
      </c>
      <c r="H735" s="30">
        <f>IF('11. Water - Capex Input'!$I161=H$3,'11. Water - Capex Input'!$J161,0)</f>
        <v>0</v>
      </c>
    </row>
    <row r="736" spans="2:8">
      <c r="B736" s="152">
        <f t="shared" si="207"/>
        <v>0</v>
      </c>
      <c r="D736" s="30">
        <f>IF('11. Water - Capex Input'!$I162=D$3,'11. Water - Capex Input'!$J162,0)</f>
        <v>0</v>
      </c>
      <c r="E736" s="30">
        <f>IF('11. Water - Capex Input'!$I162=E$3,'11. Water - Capex Input'!$J162,0)</f>
        <v>67500</v>
      </c>
      <c r="F736" s="30">
        <f>IF('11. Water - Capex Input'!$I162=F$3,'11. Water - Capex Input'!$J162,0)</f>
        <v>0</v>
      </c>
      <c r="G736" s="30">
        <f>IF('11. Water - Capex Input'!$I162=G$3,'11. Water - Capex Input'!$J162,0)</f>
        <v>0</v>
      </c>
      <c r="H736" s="30">
        <f>IF('11. Water - Capex Input'!$I162=H$3,'11. Water - Capex Input'!$J162,0)</f>
        <v>0</v>
      </c>
    </row>
    <row r="737" spans="2:8">
      <c r="B737" s="152">
        <f t="shared" si="207"/>
        <v>0</v>
      </c>
      <c r="D737" s="30">
        <f>IF('11. Water - Capex Input'!$I163=D$3,'11. Water - Capex Input'!$J163,0)</f>
        <v>0</v>
      </c>
      <c r="E737" s="30">
        <f>IF('11. Water - Capex Input'!$I163=E$3,'11. Water - Capex Input'!$J163,0)</f>
        <v>758332.5</v>
      </c>
      <c r="F737" s="30">
        <f>IF('11. Water - Capex Input'!$I163=F$3,'11. Water - Capex Input'!$J163,0)</f>
        <v>0</v>
      </c>
      <c r="G737" s="30">
        <f>IF('11. Water - Capex Input'!$I163=G$3,'11. Water - Capex Input'!$J163,0)</f>
        <v>0</v>
      </c>
      <c r="H737" s="30">
        <f>IF('11. Water - Capex Input'!$I163=H$3,'11. Water - Capex Input'!$J163,0)</f>
        <v>0</v>
      </c>
    </row>
    <row r="738" spans="2:8">
      <c r="B738" s="152">
        <f t="shared" si="207"/>
        <v>0</v>
      </c>
      <c r="D738" s="30">
        <f>IF('11. Water - Capex Input'!$I164=D$3,'11. Water - Capex Input'!$J164,0)</f>
        <v>5513126.2974667996</v>
      </c>
      <c r="E738" s="30">
        <f>IF('11. Water - Capex Input'!$I164=E$3,'11. Water - Capex Input'!$J164,0)</f>
        <v>0</v>
      </c>
      <c r="F738" s="30">
        <f>IF('11. Water - Capex Input'!$I164=F$3,'11. Water - Capex Input'!$J164,0)</f>
        <v>0</v>
      </c>
      <c r="G738" s="30">
        <f>IF('11. Water - Capex Input'!$I164=G$3,'11. Water - Capex Input'!$J164,0)</f>
        <v>0</v>
      </c>
      <c r="H738" s="30">
        <f>IF('11. Water - Capex Input'!$I164=H$3,'11. Water - Capex Input'!$J164,0)</f>
        <v>0</v>
      </c>
    </row>
    <row r="739" spans="2:8">
      <c r="B739" s="152">
        <f t="shared" si="207"/>
        <v>0</v>
      </c>
      <c r="D739" s="30">
        <f>IF('11. Water - Capex Input'!$I165=D$3,'11. Water - Capex Input'!$J165,0)</f>
        <v>387671.00724703015</v>
      </c>
      <c r="E739" s="30">
        <f>IF('11. Water - Capex Input'!$I165=E$3,'11. Water - Capex Input'!$J165,0)</f>
        <v>0</v>
      </c>
      <c r="F739" s="30">
        <f>IF('11. Water - Capex Input'!$I165=F$3,'11. Water - Capex Input'!$J165,0)</f>
        <v>0</v>
      </c>
      <c r="G739" s="30">
        <f>IF('11. Water - Capex Input'!$I165=G$3,'11. Water - Capex Input'!$J165,0)</f>
        <v>0</v>
      </c>
      <c r="H739" s="30">
        <f>IF('11. Water - Capex Input'!$I165=H$3,'11. Water - Capex Input'!$J165,0)</f>
        <v>0</v>
      </c>
    </row>
    <row r="740" spans="2:8">
      <c r="B740" s="152">
        <f t="shared" si="207"/>
        <v>0</v>
      </c>
      <c r="D740" s="30">
        <f>IF('11. Water - Capex Input'!$I166=D$3,'11. Water - Capex Input'!$J166,0)</f>
        <v>105224.98488604407</v>
      </c>
      <c r="E740" s="30">
        <f>IF('11. Water - Capex Input'!$I166=E$3,'11. Water - Capex Input'!$J166,0)</f>
        <v>0</v>
      </c>
      <c r="F740" s="30">
        <f>IF('11. Water - Capex Input'!$I166=F$3,'11. Water - Capex Input'!$J166,0)</f>
        <v>0</v>
      </c>
      <c r="G740" s="30">
        <f>IF('11. Water - Capex Input'!$I166=G$3,'11. Water - Capex Input'!$J166,0)</f>
        <v>0</v>
      </c>
      <c r="H740" s="30">
        <f>IF('11. Water - Capex Input'!$I166=H$3,'11. Water - Capex Input'!$J166,0)</f>
        <v>0</v>
      </c>
    </row>
    <row r="741" spans="2:8">
      <c r="B741" s="152">
        <f t="shared" si="207"/>
        <v>0</v>
      </c>
      <c r="D741" s="30">
        <f>IF('11. Water - Capex Input'!$I167=D$3,'11. Water - Capex Input'!$J167,0)</f>
        <v>11076.310869080686</v>
      </c>
      <c r="E741" s="30">
        <f>IF('11. Water - Capex Input'!$I167=E$3,'11. Water - Capex Input'!$J167,0)</f>
        <v>0</v>
      </c>
      <c r="F741" s="30">
        <f>IF('11. Water - Capex Input'!$I167=F$3,'11. Water - Capex Input'!$J167,0)</f>
        <v>0</v>
      </c>
      <c r="G741" s="30">
        <f>IF('11. Water - Capex Input'!$I167=G$3,'11. Water - Capex Input'!$J167,0)</f>
        <v>0</v>
      </c>
      <c r="H741" s="30">
        <f>IF('11. Water - Capex Input'!$I167=H$3,'11. Water - Capex Input'!$J167,0)</f>
        <v>0</v>
      </c>
    </row>
    <row r="742" spans="2:8">
      <c r="B742" s="152">
        <f t="shared" si="207"/>
        <v>0</v>
      </c>
      <c r="D742" s="30">
        <f>IF('11. Water - Capex Input'!$I168=D$3,'11. Water - Capex Input'!$J168,0)</f>
        <v>49843.399531054805</v>
      </c>
      <c r="E742" s="30">
        <f>IF('11. Water - Capex Input'!$I168=E$3,'11. Water - Capex Input'!$J168,0)</f>
        <v>0</v>
      </c>
      <c r="F742" s="30">
        <f>IF('11. Water - Capex Input'!$I168=F$3,'11. Water - Capex Input'!$J168,0)</f>
        <v>0</v>
      </c>
      <c r="G742" s="30">
        <f>IF('11. Water - Capex Input'!$I168=G$3,'11. Water - Capex Input'!$J168,0)</f>
        <v>0</v>
      </c>
      <c r="H742" s="30">
        <f>IF('11. Water - Capex Input'!$I168=H$3,'11. Water - Capex Input'!$J168,0)</f>
        <v>0</v>
      </c>
    </row>
    <row r="743" spans="2:8">
      <c r="B743" s="152">
        <f t="shared" si="207"/>
        <v>0</v>
      </c>
      <c r="D743" s="30">
        <f>IF('11. Water - Capex Input'!$I169=D$3,'11. Water - Capex Input'!$J169,0)</f>
        <v>6121.9921095218906</v>
      </c>
      <c r="E743" s="30">
        <f>IF('11. Water - Capex Input'!$I169=E$3,'11. Water - Capex Input'!$J169,0)</f>
        <v>0</v>
      </c>
      <c r="F743" s="30">
        <f>IF('11. Water - Capex Input'!$I169=F$3,'11. Water - Capex Input'!$J169,0)</f>
        <v>0</v>
      </c>
      <c r="G743" s="30">
        <f>IF('11. Water - Capex Input'!$I169=G$3,'11. Water - Capex Input'!$J169,0)</f>
        <v>0</v>
      </c>
      <c r="H743" s="30">
        <f>IF('11. Water - Capex Input'!$I169=H$3,'11. Water - Capex Input'!$J169,0)</f>
        <v>0</v>
      </c>
    </row>
    <row r="744" spans="2:8">
      <c r="B744" s="152">
        <f t="shared" si="207"/>
        <v>0</v>
      </c>
      <c r="D744" s="30">
        <f>IF('11. Water - Capex Input'!$I170=D$3,'11. Water - Capex Input'!$J170,0)</f>
        <v>30609.93338148222</v>
      </c>
      <c r="E744" s="30">
        <f>IF('11. Water - Capex Input'!$I170=E$3,'11. Water - Capex Input'!$J170,0)</f>
        <v>0</v>
      </c>
      <c r="F744" s="30">
        <f>IF('11. Water - Capex Input'!$I170=F$3,'11. Water - Capex Input'!$J170,0)</f>
        <v>0</v>
      </c>
      <c r="G744" s="30">
        <f>IF('11. Water - Capex Input'!$I170=G$3,'11. Water - Capex Input'!$J170,0)</f>
        <v>0</v>
      </c>
      <c r="H744" s="30">
        <f>IF('11. Water - Capex Input'!$I170=H$3,'11. Water - Capex Input'!$J170,0)</f>
        <v>0</v>
      </c>
    </row>
    <row r="745" spans="2:8">
      <c r="B745" s="152">
        <f t="shared" si="207"/>
        <v>0</v>
      </c>
      <c r="D745" s="30">
        <f>IF('11. Water - Capex Input'!$I171=D$3,'11. Water - Capex Input'!$J171,0)</f>
        <v>27538.241634342947</v>
      </c>
      <c r="E745" s="30">
        <f>IF('11. Water - Capex Input'!$I171=E$3,'11. Water - Capex Input'!$J171,0)</f>
        <v>0</v>
      </c>
      <c r="F745" s="30">
        <f>IF('11. Water - Capex Input'!$I171=F$3,'11. Water - Capex Input'!$J171,0)</f>
        <v>0</v>
      </c>
      <c r="G745" s="30">
        <f>IF('11. Water - Capex Input'!$I171=G$3,'11. Water - Capex Input'!$J171,0)</f>
        <v>0</v>
      </c>
      <c r="H745" s="30">
        <f>IF('11. Water - Capex Input'!$I171=H$3,'11. Water - Capex Input'!$J171,0)</f>
        <v>0</v>
      </c>
    </row>
    <row r="746" spans="2:8">
      <c r="B746" s="152">
        <f t="shared" si="207"/>
        <v>0</v>
      </c>
      <c r="D746" s="30">
        <f>IF('11. Water - Capex Input'!$I172=D$3,'11. Water - Capex Input'!$J172,0)</f>
        <v>6121.9866762964439</v>
      </c>
      <c r="E746" s="30">
        <f>IF('11. Water - Capex Input'!$I172=E$3,'11. Water - Capex Input'!$J172,0)</f>
        <v>0</v>
      </c>
      <c r="F746" s="30">
        <f>IF('11. Water - Capex Input'!$I172=F$3,'11. Water - Capex Input'!$J172,0)</f>
        <v>0</v>
      </c>
      <c r="G746" s="30">
        <f>IF('11. Water - Capex Input'!$I172=G$3,'11. Water - Capex Input'!$J172,0)</f>
        <v>0</v>
      </c>
      <c r="H746" s="30">
        <f>IF('11. Water - Capex Input'!$I172=H$3,'11. Water - Capex Input'!$J172,0)</f>
        <v>0</v>
      </c>
    </row>
    <row r="747" spans="2:8">
      <c r="B747" s="152">
        <f t="shared" si="207"/>
        <v>0</v>
      </c>
      <c r="D747" s="30">
        <f>IF('11. Water - Capex Input'!$I173=D$3,'11. Water - Capex Input'!$J173,0)</f>
        <v>9179.4176481074828</v>
      </c>
      <c r="E747" s="30">
        <f>IF('11. Water - Capex Input'!$I173=E$3,'11. Water - Capex Input'!$J173,0)</f>
        <v>0</v>
      </c>
      <c r="F747" s="30">
        <f>IF('11. Water - Capex Input'!$I173=F$3,'11. Water - Capex Input'!$J173,0)</f>
        <v>0</v>
      </c>
      <c r="G747" s="30">
        <f>IF('11. Water - Capex Input'!$I173=G$3,'11. Water - Capex Input'!$J173,0)</f>
        <v>0</v>
      </c>
      <c r="H747" s="30">
        <f>IF('11. Water - Capex Input'!$I173=H$3,'11. Water - Capex Input'!$J173,0)</f>
        <v>0</v>
      </c>
    </row>
    <row r="748" spans="2:8">
      <c r="B748" s="152">
        <f t="shared" si="207"/>
        <v>0</v>
      </c>
      <c r="D748" s="30">
        <f>IF('11. Water - Capex Input'!$I174=D$3,'11. Water - Capex Input'!$J174,0)</f>
        <v>569344.76089556934</v>
      </c>
      <c r="E748" s="30">
        <f>IF('11. Water - Capex Input'!$I174=E$3,'11. Water - Capex Input'!$J174,0)</f>
        <v>0</v>
      </c>
      <c r="F748" s="30">
        <f>IF('11. Water - Capex Input'!$I174=F$3,'11. Water - Capex Input'!$J174,0)</f>
        <v>0</v>
      </c>
      <c r="G748" s="30">
        <f>IF('11. Water - Capex Input'!$I174=G$3,'11. Water - Capex Input'!$J174,0)</f>
        <v>0</v>
      </c>
      <c r="H748" s="30">
        <f>IF('11. Water - Capex Input'!$I174=H$3,'11. Water - Capex Input'!$J174,0)</f>
        <v>0</v>
      </c>
    </row>
    <row r="749" spans="2:8">
      <c r="B749" s="152">
        <f t="shared" si="207"/>
        <v>0</v>
      </c>
      <c r="D749" s="30">
        <f>IF('11. Water - Capex Input'!$I175=D$3,'11. Water - Capex Input'!$J175,0)</f>
        <v>100973.55177220026</v>
      </c>
      <c r="E749" s="30">
        <f>IF('11. Water - Capex Input'!$I175=E$3,'11. Water - Capex Input'!$J175,0)</f>
        <v>0</v>
      </c>
      <c r="F749" s="30">
        <f>IF('11. Water - Capex Input'!$I175=F$3,'11. Water - Capex Input'!$J175,0)</f>
        <v>0</v>
      </c>
      <c r="G749" s="30">
        <f>IF('11. Water - Capex Input'!$I175=G$3,'11. Water - Capex Input'!$J175,0)</f>
        <v>0</v>
      </c>
      <c r="H749" s="30">
        <f>IF('11. Water - Capex Input'!$I175=H$3,'11. Water - Capex Input'!$J175,0)</f>
        <v>0</v>
      </c>
    </row>
    <row r="750" spans="2:8">
      <c r="B750" s="152">
        <f t="shared" si="207"/>
        <v>0</v>
      </c>
      <c r="D750" s="30">
        <f>IF('11. Water - Capex Input'!$I176=D$3,'11. Water - Capex Input'!$J176,0)</f>
        <v>137691.19431144575</v>
      </c>
      <c r="E750" s="30">
        <f>IF('11. Water - Capex Input'!$I176=E$3,'11. Water - Capex Input'!$J176,0)</f>
        <v>0</v>
      </c>
      <c r="F750" s="30">
        <f>IF('11. Water - Capex Input'!$I176=F$3,'11. Water - Capex Input'!$J176,0)</f>
        <v>0</v>
      </c>
      <c r="G750" s="30">
        <f>IF('11. Water - Capex Input'!$I176=G$3,'11. Water - Capex Input'!$J176,0)</f>
        <v>0</v>
      </c>
      <c r="H750" s="30">
        <f>IF('11. Water - Capex Input'!$I176=H$3,'11. Water - Capex Input'!$J176,0)</f>
        <v>0</v>
      </c>
    </row>
    <row r="751" spans="2:8">
      <c r="B751" s="152">
        <f t="shared" si="207"/>
        <v>0</v>
      </c>
      <c r="D751" s="30">
        <f>IF('11. Water - Capex Input'!$I177=D$3,'11. Water - Capex Input'!$J177,0)</f>
        <v>642558.92157103377</v>
      </c>
      <c r="E751" s="30">
        <f>IF('11. Water - Capex Input'!$I177=E$3,'11. Water - Capex Input'!$J177,0)</f>
        <v>0</v>
      </c>
      <c r="F751" s="30">
        <f>IF('11. Water - Capex Input'!$I177=F$3,'11. Water - Capex Input'!$J177,0)</f>
        <v>0</v>
      </c>
      <c r="G751" s="30">
        <f>IF('11. Water - Capex Input'!$I177=G$3,'11. Water - Capex Input'!$J177,0)</f>
        <v>0</v>
      </c>
      <c r="H751" s="30">
        <f>IF('11. Water - Capex Input'!$I177=H$3,'11. Water - Capex Input'!$J177,0)</f>
        <v>0</v>
      </c>
    </row>
    <row r="752" spans="2:8">
      <c r="B752" s="152">
        <f t="shared" si="207"/>
        <v>0</v>
      </c>
      <c r="D752" s="30">
        <f>IF('11. Water - Capex Input'!$I178=D$3,'11. Water - Capex Input'!$J178,0)</f>
        <v>479571</v>
      </c>
      <c r="E752" s="30">
        <f>IF('11. Water - Capex Input'!$I178=E$3,'11. Water - Capex Input'!$J178,0)</f>
        <v>0</v>
      </c>
      <c r="F752" s="30">
        <f>IF('11. Water - Capex Input'!$I178=F$3,'11. Water - Capex Input'!$J178,0)</f>
        <v>0</v>
      </c>
      <c r="G752" s="30">
        <f>IF('11. Water - Capex Input'!$I178=G$3,'11. Water - Capex Input'!$J178,0)</f>
        <v>0</v>
      </c>
      <c r="H752" s="30">
        <f>IF('11. Water - Capex Input'!$I178=H$3,'11. Water - Capex Input'!$J178,0)</f>
        <v>0</v>
      </c>
    </row>
    <row r="753" spans="2:8">
      <c r="B753" s="152">
        <f t="shared" si="207"/>
        <v>0</v>
      </c>
      <c r="D753" s="30">
        <f>IF('11. Water - Capex Input'!$I179=D$3,'11. Water - Capex Input'!$J179,0)</f>
        <v>33440.072314549354</v>
      </c>
      <c r="E753" s="30">
        <f>IF('11. Water - Capex Input'!$I179=E$3,'11. Water - Capex Input'!$J179,0)</f>
        <v>0</v>
      </c>
      <c r="F753" s="30">
        <f>IF('11. Water - Capex Input'!$I179=F$3,'11. Water - Capex Input'!$J179,0)</f>
        <v>0</v>
      </c>
      <c r="G753" s="30">
        <f>IF('11. Water - Capex Input'!$I179=G$3,'11. Water - Capex Input'!$J179,0)</f>
        <v>0</v>
      </c>
      <c r="H753" s="30">
        <f>IF('11. Water - Capex Input'!$I179=H$3,'11. Water - Capex Input'!$J179,0)</f>
        <v>0</v>
      </c>
    </row>
    <row r="754" spans="2:8">
      <c r="B754" s="152">
        <f t="shared" si="207"/>
        <v>0</v>
      </c>
      <c r="D754" s="30">
        <f>IF('11. Water - Capex Input'!$I180=D$3,'11. Water - Capex Input'!$J180,0)</f>
        <v>257897.65406452466</v>
      </c>
      <c r="E754" s="30">
        <f>IF('11. Water - Capex Input'!$I180=E$3,'11. Water - Capex Input'!$J180,0)</f>
        <v>0</v>
      </c>
      <c r="F754" s="30">
        <f>IF('11. Water - Capex Input'!$I180=F$3,'11. Water - Capex Input'!$J180,0)</f>
        <v>0</v>
      </c>
      <c r="G754" s="30">
        <f>IF('11. Water - Capex Input'!$I180=G$3,'11. Water - Capex Input'!$J180,0)</f>
        <v>0</v>
      </c>
      <c r="H754" s="30">
        <f>IF('11. Water - Capex Input'!$I180=H$3,'11. Water - Capex Input'!$J180,0)</f>
        <v>0</v>
      </c>
    </row>
    <row r="755" spans="2:8">
      <c r="B755" s="152">
        <f t="shared" si="207"/>
        <v>0</v>
      </c>
      <c r="D755" s="30">
        <f>IF('11. Water - Capex Input'!$I181=D$3,'11. Water - Capex Input'!$J181,0)</f>
        <v>66462.146166532737</v>
      </c>
      <c r="E755" s="30">
        <f>IF('11. Water - Capex Input'!$I181=E$3,'11. Water - Capex Input'!$J181,0)</f>
        <v>0</v>
      </c>
      <c r="F755" s="30">
        <f>IF('11. Water - Capex Input'!$I181=F$3,'11. Water - Capex Input'!$J181,0)</f>
        <v>0</v>
      </c>
      <c r="G755" s="30">
        <f>IF('11. Water - Capex Input'!$I181=G$3,'11. Water - Capex Input'!$J181,0)</f>
        <v>0</v>
      </c>
      <c r="H755" s="30">
        <f>IF('11. Water - Capex Input'!$I181=H$3,'11. Water - Capex Input'!$J181,0)</f>
        <v>0</v>
      </c>
    </row>
    <row r="756" spans="2:8">
      <c r="B756" s="152">
        <f t="shared" si="207"/>
        <v>0</v>
      </c>
      <c r="D756" s="30">
        <f>IF('11. Water - Capex Input'!$I182=D$3,'11. Water - Capex Input'!$J182,0)</f>
        <v>29469.063727196619</v>
      </c>
      <c r="E756" s="30">
        <f>IF('11. Water - Capex Input'!$I182=E$3,'11. Water - Capex Input'!$J182,0)</f>
        <v>0</v>
      </c>
      <c r="F756" s="30">
        <f>IF('11. Water - Capex Input'!$I182=F$3,'11. Water - Capex Input'!$J182,0)</f>
        <v>0</v>
      </c>
      <c r="G756" s="30">
        <f>IF('11. Water - Capex Input'!$I182=G$3,'11. Water - Capex Input'!$J182,0)</f>
        <v>0</v>
      </c>
      <c r="H756" s="30">
        <f>IF('11. Water - Capex Input'!$I182=H$3,'11. Water - Capex Input'!$J182,0)</f>
        <v>0</v>
      </c>
    </row>
    <row r="757" spans="2:8">
      <c r="B757" s="152">
        <f t="shared" si="207"/>
        <v>0</v>
      </c>
      <c r="D757" s="30">
        <f>IF('11. Water - Capex Input'!$I183=D$3,'11. Water - Capex Input'!$J183,0)</f>
        <v>29469.063727196619</v>
      </c>
      <c r="E757" s="30">
        <f>IF('11. Water - Capex Input'!$I183=E$3,'11. Water - Capex Input'!$J183,0)</f>
        <v>0</v>
      </c>
      <c r="F757" s="30">
        <f>IF('11. Water - Capex Input'!$I183=F$3,'11. Water - Capex Input'!$J183,0)</f>
        <v>0</v>
      </c>
      <c r="G757" s="30">
        <f>IF('11. Water - Capex Input'!$I183=G$3,'11. Water - Capex Input'!$J183,0)</f>
        <v>0</v>
      </c>
      <c r="H757" s="30">
        <f>IF('11. Water - Capex Input'!$I183=H$3,'11. Water - Capex Input'!$J183,0)</f>
        <v>0</v>
      </c>
    </row>
    <row r="758" spans="2:8">
      <c r="B758" s="152">
        <f t="shared" si="207"/>
        <v>0</v>
      </c>
      <c r="D758" s="30">
        <f>IF('11. Water - Capex Input'!$I184=D$3,'11. Water - Capex Input'!$J184,0)</f>
        <v>83461</v>
      </c>
      <c r="E758" s="30">
        <f>IF('11. Water - Capex Input'!$I184=E$3,'11. Water - Capex Input'!$J184,0)</f>
        <v>0</v>
      </c>
      <c r="F758" s="30">
        <f>IF('11. Water - Capex Input'!$I184=F$3,'11. Water - Capex Input'!$J184,0)</f>
        <v>0</v>
      </c>
      <c r="G758" s="30">
        <f>IF('11. Water - Capex Input'!$I184=G$3,'11. Water - Capex Input'!$J184,0)</f>
        <v>0</v>
      </c>
      <c r="H758" s="30">
        <f>IF('11. Water - Capex Input'!$I184=H$3,'11. Water - Capex Input'!$J184,0)</f>
        <v>0</v>
      </c>
    </row>
    <row r="759" spans="2:8">
      <c r="B759" s="152">
        <f t="shared" si="207"/>
        <v>0</v>
      </c>
      <c r="D759" s="30">
        <f>IF('11. Water - Capex Input'!$I185=D$3,'11. Water - Capex Input'!$J185,0)</f>
        <v>103772.81</v>
      </c>
      <c r="E759" s="30">
        <f>IF('11. Water - Capex Input'!$I185=E$3,'11. Water - Capex Input'!$J185,0)</f>
        <v>0</v>
      </c>
      <c r="F759" s="30">
        <f>IF('11. Water - Capex Input'!$I185=F$3,'11. Water - Capex Input'!$J185,0)</f>
        <v>0</v>
      </c>
      <c r="G759" s="30">
        <f>IF('11. Water - Capex Input'!$I185=G$3,'11. Water - Capex Input'!$J185,0)</f>
        <v>0</v>
      </c>
      <c r="H759" s="30">
        <f>IF('11. Water - Capex Input'!$I185=H$3,'11. Water - Capex Input'!$J185,0)</f>
        <v>0</v>
      </c>
    </row>
    <row r="760" spans="2:8">
      <c r="B760" s="2" t="str">
        <f t="shared" si="207"/>
        <v>Carndo Year 4 Reduction</v>
      </c>
      <c r="D760" s="30">
        <f>IF('11. Water - Capex Input'!$I186=D$3,'11. Water - Capex Input'!$J186,0)</f>
        <v>0</v>
      </c>
      <c r="E760" s="30">
        <f>IF('11. Water - Capex Input'!$I186=E$3,'11. Water - Capex Input'!$J186,0)</f>
        <v>0</v>
      </c>
      <c r="F760" s="30">
        <f>IF('11. Water - Capex Input'!$I186=F$3,'11. Water - Capex Input'!$J186,0)</f>
        <v>0</v>
      </c>
      <c r="G760" s="30">
        <f>IF('11. Water - Capex Input'!$I186=G$3,'11. Water - Capex Input'!$J186,0)</f>
        <v>-2080841.3054067653</v>
      </c>
      <c r="H760" s="30">
        <f>IF('11. Water - Capex Input'!$I186=H$3,'11. Water - Capex Input'!$J186,0)</f>
        <v>0</v>
      </c>
    </row>
    <row r="761" spans="2:8">
      <c r="B761" s="2" t="str">
        <f t="shared" si="207"/>
        <v>Carndo Year 5 Reduction</v>
      </c>
      <c r="D761" s="30">
        <f>IF('11. Water - Capex Input'!$I187=D$3,'11. Water - Capex Input'!$J187,0)</f>
        <v>0</v>
      </c>
      <c r="E761" s="30">
        <f>IF('11. Water - Capex Input'!$I187=E$3,'11. Water - Capex Input'!$J187,0)</f>
        <v>0</v>
      </c>
      <c r="F761" s="30">
        <f>IF('11. Water - Capex Input'!$I187=F$3,'11. Water - Capex Input'!$J187,0)</f>
        <v>0</v>
      </c>
      <c r="G761" s="30">
        <f>IF('11. Water - Capex Input'!$I187=G$3,'11. Water - Capex Input'!$J187,0)</f>
        <v>0</v>
      </c>
      <c r="H761" s="30">
        <f>IF('11. Water - Capex Input'!$I187=H$3,'11. Water - Capex Input'!$J187,0)</f>
        <v>-3754256.6513461662</v>
      </c>
    </row>
    <row r="762" spans="2:8">
      <c r="B762" s="2" t="s">
        <v>55</v>
      </c>
      <c r="D762" s="48">
        <f>SUM(D579:D761)</f>
        <v>34643404.405000024</v>
      </c>
      <c r="E762" s="48">
        <f>SUM(E579:E761)</f>
        <v>26993825.123333331</v>
      </c>
      <c r="F762" s="48">
        <f>SUM(F579:F761)</f>
        <v>24440593.263872232</v>
      </c>
      <c r="G762" s="48">
        <f>SUM(G579:G761)</f>
        <v>28868116.86681056</v>
      </c>
      <c r="H762" s="48">
        <f>SUM(H579:H761)</f>
        <v>42188866.395676591</v>
      </c>
    </row>
    <row r="763" spans="2:8">
      <c r="D763" s="70"/>
      <c r="E763" s="70"/>
      <c r="F763" s="70"/>
      <c r="G763" s="70"/>
      <c r="H763" s="70"/>
    </row>
    <row r="764" spans="2:8" ht="15.75">
      <c r="B764" s="10" t="s">
        <v>12</v>
      </c>
      <c r="D764" s="30"/>
      <c r="E764" s="30"/>
      <c r="F764" s="30"/>
      <c r="G764" s="30"/>
      <c r="H764" s="30"/>
    </row>
    <row r="765" spans="2:8">
      <c r="B765" s="152">
        <f t="shared" ref="B765:B778" si="208">B579</f>
        <v>0</v>
      </c>
      <c r="D765" s="30">
        <f ca="1">(D207+D393+'3. General Model Inputs'!$D$53*D579)*D$6</f>
        <v>2069.2658124999998</v>
      </c>
      <c r="E765" s="30">
        <f ca="1">(E207+E393+'3. General Model Inputs'!$D$53*E579)*E$6</f>
        <v>4154.9133126822917</v>
      </c>
      <c r="F765" s="30">
        <f ca="1">(F207+F393+'3. General Model Inputs'!$D$53*F579)*F$6</f>
        <v>4186.6033294739364</v>
      </c>
      <c r="G765" s="30">
        <f ca="1">(G207+G393+'3. General Model Inputs'!$D$53*G579)*G$6</f>
        <v>4217.281026284737</v>
      </c>
      <c r="H765" s="30">
        <f ca="1">(H207+H393+'3. General Model Inputs'!$D$53*H579)*H$6</f>
        <v>4246.8759808551558</v>
      </c>
    </row>
    <row r="766" spans="2:8">
      <c r="B766" s="152">
        <f t="shared" si="208"/>
        <v>0</v>
      </c>
      <c r="D766" s="30">
        <f ca="1">(D208+D394+'3. General Model Inputs'!$D$53*D580)*D$6</f>
        <v>0</v>
      </c>
      <c r="E766" s="30">
        <f ca="1">(E208+E394+'3. General Model Inputs'!$D$53*E580)*E$6</f>
        <v>6362.3209375000006</v>
      </c>
      <c r="F766" s="30">
        <f ca="1">(F208+F394+'3. General Model Inputs'!$D$53*F580)*F$6</f>
        <v>12775.010249088542</v>
      </c>
      <c r="G766" s="30">
        <f ca="1">(G208+G394+'3. General Model Inputs'!$D$53*G580)*G$6</f>
        <v>12872.446767937523</v>
      </c>
      <c r="H766" s="30">
        <f ca="1">(H208+H394+'3. General Model Inputs'!$D$53*H580)*H$6</f>
        <v>12966.770731323273</v>
      </c>
    </row>
    <row r="767" spans="2:8">
      <c r="B767" s="152">
        <f t="shared" si="208"/>
        <v>0</v>
      </c>
      <c r="D767" s="30">
        <f ca="1">(D209+D395+'3. General Model Inputs'!$D$53*D581)*D$6</f>
        <v>0</v>
      </c>
      <c r="E767" s="30">
        <f ca="1">(E209+E395+'3. General Model Inputs'!$D$53*E581)*E$6</f>
        <v>0</v>
      </c>
      <c r="F767" s="30">
        <f ca="1">(F209+F395+'3. General Model Inputs'!$D$53*F581)*F$6</f>
        <v>1317.91875</v>
      </c>
      <c r="G767" s="30">
        <f ca="1">(G209+G395+'3. General Model Inputs'!$D$53*G581)*G$6</f>
        <v>2646.2710234375004</v>
      </c>
      <c r="H767" s="30">
        <f ca="1">(H209+H395+'3. General Model Inputs'!$D$53*H581)*H$6</f>
        <v>2666.454446497617</v>
      </c>
    </row>
    <row r="768" spans="2:8">
      <c r="B768" s="152">
        <f t="shared" si="208"/>
        <v>0</v>
      </c>
      <c r="D768" s="30">
        <f ca="1">(D210+D396+'3. General Model Inputs'!$D$53*D582)*D$6</f>
        <v>1228.9442500000002</v>
      </c>
      <c r="E768" s="30">
        <f ca="1">(E210+E396+'3. General Model Inputs'!$D$53*E582)*E$6</f>
        <v>2404.6342491666669</v>
      </c>
      <c r="F768" s="30">
        <f ca="1">(F210+F396+'3. General Model Inputs'!$D$53*F582)*F$6</f>
        <v>2288.6965264389887</v>
      </c>
      <c r="G768" s="30">
        <f ca="1">(G210+G396+'3. General Model Inputs'!$D$53*G582)*G$6</f>
        <v>2165.4590211691971</v>
      </c>
      <c r="H768" s="30">
        <f ca="1">(H210+H396+'3. General Model Inputs'!$D$53*H582)*H$6</f>
        <v>2034.6292053068912</v>
      </c>
    </row>
    <row r="769" spans="2:8">
      <c r="B769" s="152">
        <f t="shared" si="208"/>
        <v>0</v>
      </c>
      <c r="D769" s="30">
        <f ca="1">(D211+D397+'3. General Model Inputs'!$D$53*D583)*D$6</f>
        <v>0</v>
      </c>
      <c r="E769" s="30">
        <f ca="1">(E211+E397+'3. General Model Inputs'!$D$53*E583)*E$6</f>
        <v>52.863687500000005</v>
      </c>
      <c r="F769" s="30">
        <f ca="1">(F211+F397+'3. General Model Inputs'!$D$53*F583)*F$6</f>
        <v>103.43661520833335</v>
      </c>
      <c r="G769" s="30">
        <f ca="1">(G211+G397+'3. General Model Inputs'!$D$53*G583)*G$6</f>
        <v>98.449492689360127</v>
      </c>
      <c r="H769" s="30">
        <f ca="1">(H211+H397+'3. General Model Inputs'!$D$53*H583)*H$6</f>
        <v>93.148366159933062</v>
      </c>
    </row>
    <row r="770" spans="2:8">
      <c r="B770" s="152">
        <f t="shared" si="208"/>
        <v>0</v>
      </c>
      <c r="D770" s="30">
        <f ca="1">(D212+D398+'3. General Model Inputs'!$D$53*D584)*D$6</f>
        <v>3414.7025000000003</v>
      </c>
      <c r="E770" s="30">
        <f ca="1">(E212+E398+'3. General Model Inputs'!$D$53*E584)*E$6</f>
        <v>6856.4380614583342</v>
      </c>
      <c r="F770" s="30">
        <f ca="1">(F212+F398+'3. General Model Inputs'!$D$53*F584)*F$6</f>
        <v>6908.7329280287786</v>
      </c>
      <c r="G770" s="30">
        <f ca="1">(G212+G398+'3. General Model Inputs'!$D$53*G584)*G$6</f>
        <v>6959.3572641393348</v>
      </c>
      <c r="H770" s="30">
        <f ca="1">(H212+H398+'3. General Model Inputs'!$D$53*H584)*H$6</f>
        <v>7008.1948589754002</v>
      </c>
    </row>
    <row r="771" spans="2:8">
      <c r="B771" s="152">
        <f t="shared" si="208"/>
        <v>0</v>
      </c>
      <c r="D771" s="30">
        <f ca="1">(D213+D399+'3. General Model Inputs'!$D$53*D585)*D$6</f>
        <v>0</v>
      </c>
      <c r="E771" s="30">
        <f ca="1">(E213+E399+'3. General Model Inputs'!$D$53*E585)*E$6</f>
        <v>22951.918666666668</v>
      </c>
      <c r="F771" s="30">
        <f ca="1">(F213+F399+'3. General Model Inputs'!$D$53*F585)*F$6</f>
        <v>46085.540022777779</v>
      </c>
      <c r="G771" s="30">
        <f ca="1">(G213+G399+'3. General Model Inputs'!$D$53*G585)*G$6</f>
        <v>46437.039904307443</v>
      </c>
      <c r="H771" s="30">
        <f ca="1">(H213+H399+'3. General Model Inputs'!$D$53*H585)*H$6</f>
        <v>46777.311317399348</v>
      </c>
    </row>
    <row r="772" spans="2:8">
      <c r="B772" s="152">
        <f t="shared" si="208"/>
        <v>0</v>
      </c>
      <c r="D772" s="30">
        <f ca="1">(D214+D400+'3. General Model Inputs'!$D$53*D586)*D$6</f>
        <v>0</v>
      </c>
      <c r="E772" s="30">
        <f ca="1">(E214+E400+'3. General Model Inputs'!$D$53*E586)*E$6</f>
        <v>0</v>
      </c>
      <c r="F772" s="30">
        <f ca="1">(F214+F400+'3. General Model Inputs'!$D$53*F586)*F$6</f>
        <v>54375</v>
      </c>
      <c r="G772" s="30">
        <f ca="1">(G214+G400+'3. General Model Inputs'!$D$53*G586)*G$6</f>
        <v>109180.46875</v>
      </c>
      <c r="H772" s="30">
        <f ca="1">(H214+H400+'3. General Model Inputs'!$D$53*H586)*H$6</f>
        <v>110013.2011387712</v>
      </c>
    </row>
    <row r="773" spans="2:8">
      <c r="B773" s="152">
        <f t="shared" si="208"/>
        <v>0</v>
      </c>
      <c r="D773" s="30">
        <f ca="1">(D215+D401+'3. General Model Inputs'!$D$53*D587)*D$6</f>
        <v>0</v>
      </c>
      <c r="E773" s="30">
        <f ca="1">(E215+E401+'3. General Model Inputs'!$D$53*E587)*E$6</f>
        <v>0</v>
      </c>
      <c r="F773" s="30">
        <f ca="1">(F215+F401+'3. General Model Inputs'!$D$53*F587)*F$6</f>
        <v>6523.0857763210051</v>
      </c>
      <c r="G773" s="30">
        <f ca="1">(G215+G401+'3. General Model Inputs'!$D$53*G587)*G$6</f>
        <v>13097.812648371219</v>
      </c>
      <c r="H773" s="30">
        <f ca="1">(H215+H401+'3. General Model Inputs'!$D$53*H587)*H$6</f>
        <v>13197.711219418119</v>
      </c>
    </row>
    <row r="774" spans="2:8">
      <c r="B774" s="152">
        <f t="shared" si="208"/>
        <v>0</v>
      </c>
      <c r="D774" s="30">
        <f ca="1">(D216+D402+'3. General Model Inputs'!$D$53*D588)*D$6</f>
        <v>0</v>
      </c>
      <c r="E774" s="30">
        <f ca="1">(E216+E402+'3. General Model Inputs'!$D$53*E588)*E$6</f>
        <v>0</v>
      </c>
      <c r="F774" s="30">
        <f ca="1">(F216+F402+'3. General Model Inputs'!$D$53*F588)*F$6</f>
        <v>0</v>
      </c>
      <c r="G774" s="30">
        <f ca="1">(G216+G402+'3. General Model Inputs'!$D$53*G588)*G$6</f>
        <v>33464.272972199367</v>
      </c>
      <c r="H774" s="30">
        <f ca="1">(H216+H402+'3. General Model Inputs'!$D$53*H588)*H$6</f>
        <v>67193.471438761975</v>
      </c>
    </row>
    <row r="775" spans="2:8">
      <c r="B775" s="152">
        <f t="shared" si="208"/>
        <v>0</v>
      </c>
      <c r="D775" s="30">
        <f ca="1">(D217+D403+'3. General Model Inputs'!$D$53*D589)*D$6</f>
        <v>0</v>
      </c>
      <c r="E775" s="30">
        <f ca="1">(E217+E403+'3. General Model Inputs'!$D$53*E589)*E$6</f>
        <v>0</v>
      </c>
      <c r="F775" s="30">
        <f ca="1">(F217+F403+'3. General Model Inputs'!$D$53*F589)*F$6</f>
        <v>0</v>
      </c>
      <c r="G775" s="30">
        <f ca="1">(G217+G403+'3. General Model Inputs'!$D$53*G589)*G$6</f>
        <v>0</v>
      </c>
      <c r="H775" s="30">
        <f ca="1">(H217+H403+'3. General Model Inputs'!$D$53*H589)*H$6</f>
        <v>148534.69891124257</v>
      </c>
    </row>
    <row r="776" spans="2:8">
      <c r="B776" s="152">
        <f t="shared" si="208"/>
        <v>0</v>
      </c>
      <c r="D776" s="30">
        <f ca="1">(D218+D404+'3. General Model Inputs'!$D$53*D590)*D$6</f>
        <v>6029.7121250000018</v>
      </c>
      <c r="E776" s="30">
        <f ca="1">(E218+E404+'3. General Model Inputs'!$D$53*E590)*E$6</f>
        <v>12132.91136652344</v>
      </c>
      <c r="F776" s="30">
        <f ca="1">(F218+F404+'3. General Model Inputs'!$D$53*F590)*F$6</f>
        <v>12278.813465234798</v>
      </c>
      <c r="G776" s="30">
        <f ca="1">(G218+G404+'3. General Model Inputs'!$D$53*G590)*G$6</f>
        <v>12424.427599277647</v>
      </c>
      <c r="H776" s="30">
        <f ca="1">(H218+H404+'3. General Model Inputs'!$D$53*H590)*H$6</f>
        <v>12569.648181606866</v>
      </c>
    </row>
    <row r="777" spans="2:8">
      <c r="B777" s="152">
        <f t="shared" si="208"/>
        <v>0</v>
      </c>
      <c r="D777" s="30">
        <f ca="1">(D219+D405+'3. General Model Inputs'!$D$53*D591)*D$6</f>
        <v>0</v>
      </c>
      <c r="E777" s="30">
        <f ca="1">(E219+E405+'3. General Model Inputs'!$D$53*E591)*E$6</f>
        <v>5138.3982500000002</v>
      </c>
      <c r="F777" s="30">
        <f ca="1">(F219+F405+'3. General Model Inputs'!$D$53*F591)*F$6</f>
        <v>10339.420728671876</v>
      </c>
      <c r="G777" s="30">
        <f ca="1">(G219+G405+'3. General Model Inputs'!$D$53*G591)*G$6</f>
        <v>10463.755534902741</v>
      </c>
      <c r="H777" s="30">
        <f ca="1">(H219+H405+'3. General Model Inputs'!$D$53*H591)*H$6</f>
        <v>10587.844943489728</v>
      </c>
    </row>
    <row r="778" spans="2:8">
      <c r="B778" s="152">
        <f t="shared" si="208"/>
        <v>0</v>
      </c>
      <c r="D778" s="30">
        <f ca="1">(D220+D406+'3. General Model Inputs'!$D$53*D592)*D$6</f>
        <v>0</v>
      </c>
      <c r="E778" s="30">
        <f ca="1">(E220+E406+'3. General Model Inputs'!$D$53*E592)*E$6</f>
        <v>0</v>
      </c>
      <c r="F778" s="30">
        <f ca="1">(F220+F406+'3. General Model Inputs'!$D$53*F592)*F$6</f>
        <v>37133.675000000003</v>
      </c>
      <c r="G778" s="30">
        <f ca="1">(G220+G406+'3. General Model Inputs'!$D$53*G592)*G$6</f>
        <v>74719.916664062504</v>
      </c>
      <c r="H778" s="30">
        <f ca="1">(H220+H406+'3. General Model Inputs'!$D$53*H592)*H$6</f>
        <v>75618.447307491107</v>
      </c>
    </row>
    <row r="779" spans="2:8">
      <c r="B779" s="152">
        <f t="shared" ref="B779:B842" si="209">B593</f>
        <v>0</v>
      </c>
      <c r="D779" s="30">
        <f ca="1">(D221+D407+'3. General Model Inputs'!$D$53*D593)*D$6</f>
        <v>0</v>
      </c>
      <c r="E779" s="30">
        <f ca="1">(E221+E407+'3. General Model Inputs'!$D$53*E593)*E$6</f>
        <v>0</v>
      </c>
      <c r="F779" s="30">
        <f ca="1">(F221+F407+'3. General Model Inputs'!$D$53*F593)*F$6</f>
        <v>0</v>
      </c>
      <c r="G779" s="30">
        <f ca="1">(G221+G407+'3. General Model Inputs'!$D$53*G593)*G$6</f>
        <v>38178.325000000004</v>
      </c>
      <c r="H779" s="30">
        <f ca="1">(H221+H407+'3. General Model Inputs'!$D$53*H593)*H$6</f>
        <v>76821.948335937501</v>
      </c>
    </row>
    <row r="780" spans="2:8">
      <c r="B780" s="152">
        <f t="shared" si="209"/>
        <v>0</v>
      </c>
      <c r="D780" s="30">
        <f ca="1">(D222+D408+'3. General Model Inputs'!$D$53*D594)*D$6</f>
        <v>0</v>
      </c>
      <c r="E780" s="30">
        <f ca="1">(E222+E408+'3. General Model Inputs'!$D$53*E594)*E$6</f>
        <v>0</v>
      </c>
      <c r="F780" s="30">
        <f ca="1">(F222+F408+'3. General Model Inputs'!$D$53*F594)*F$6</f>
        <v>0</v>
      </c>
      <c r="G780" s="30">
        <f ca="1">(G222+G408+'3. General Model Inputs'!$D$53*G594)*G$6</f>
        <v>0</v>
      </c>
      <c r="H780" s="30">
        <f ca="1">(H222+H408+'3. General Model Inputs'!$D$53*H594)*H$6</f>
        <v>39290.862500000003</v>
      </c>
    </row>
    <row r="781" spans="2:8">
      <c r="B781" s="152">
        <f t="shared" si="209"/>
        <v>0</v>
      </c>
      <c r="D781" s="30">
        <f ca="1">(D223+D409+'3. General Model Inputs'!$D$53*D595)*D$6</f>
        <v>31403.307500000003</v>
      </c>
      <c r="E781" s="30">
        <f ca="1">(E223+E409+'3. General Model Inputs'!$D$53*E595)*E$6</f>
        <v>62786.98793281251</v>
      </c>
      <c r="F781" s="30">
        <f ca="1">(F223+F409+'3. General Model Inputs'!$D$53*F595)*F$6</f>
        <v>62706.491794437105</v>
      </c>
      <c r="G781" s="30">
        <f ca="1">(G223+G409+'3. General Model Inputs'!$D$53*G595)*G$6</f>
        <v>62582.72898168493</v>
      </c>
      <c r="H781" s="30">
        <f ca="1">(H223+H409+'3. General Model Inputs'!$D$53*H595)*H$6</f>
        <v>62413.586470923619</v>
      </c>
    </row>
    <row r="782" spans="2:8">
      <c r="B782" s="152">
        <f t="shared" si="209"/>
        <v>0</v>
      </c>
      <c r="D782" s="30">
        <f ca="1">(D224+D410+'3. General Model Inputs'!$D$53*D596)*D$6</f>
        <v>0</v>
      </c>
      <c r="E782" s="30">
        <f ca="1">(E224+E410+'3. General Model Inputs'!$D$53*E596)*E$6</f>
        <v>66452.364875000014</v>
      </c>
      <c r="F782" s="30">
        <f ca="1">(F224+F410+'3. General Model Inputs'!$D$53*F596)*F$6</f>
        <v>132863.19702195315</v>
      </c>
      <c r="G782" s="30">
        <f ca="1">(G224+G410+'3. General Model Inputs'!$D$53*G596)*G$6</f>
        <v>132692.8595898737</v>
      </c>
      <c r="H782" s="30">
        <f ca="1">(H224+H410+'3. General Model Inputs'!$D$53*H596)*H$6</f>
        <v>132430.96578805157</v>
      </c>
    </row>
    <row r="783" spans="2:8">
      <c r="B783" s="152">
        <f t="shared" si="209"/>
        <v>0</v>
      </c>
      <c r="D783" s="30">
        <f ca="1">(D225+D411+'3. General Model Inputs'!$D$53*D597)*D$6</f>
        <v>0</v>
      </c>
      <c r="E783" s="30">
        <f ca="1">(E225+E411+'3. General Model Inputs'!$D$53*E597)*E$6</f>
        <v>0</v>
      </c>
      <c r="F783" s="30">
        <f ca="1">(F225+F411+'3. General Model Inputs'!$D$53*F597)*F$6</f>
        <v>17113.422624999996</v>
      </c>
      <c r="G783" s="30">
        <f ca="1">(G225+G411+'3. General Model Inputs'!$D$53*G597)*G$6</f>
        <v>34216.149360859366</v>
      </c>
      <c r="H783" s="30">
        <f ca="1">(H225+H411+'3. General Model Inputs'!$D$53*H597)*H$6</f>
        <v>34172.282502704416</v>
      </c>
    </row>
    <row r="784" spans="2:8">
      <c r="B784" s="152">
        <f t="shared" si="209"/>
        <v>0</v>
      </c>
      <c r="D784" s="30">
        <f ca="1">(D226+D412+'3. General Model Inputs'!$D$53*D598)*D$6</f>
        <v>0</v>
      </c>
      <c r="E784" s="30">
        <f ca="1">(E226+E412+'3. General Model Inputs'!$D$53*E598)*E$6</f>
        <v>0</v>
      </c>
      <c r="F784" s="30">
        <f ca="1">(F226+F412+'3. General Model Inputs'!$D$53*F598)*F$6</f>
        <v>13046.17155264201</v>
      </c>
      <c r="G784" s="30">
        <f ca="1">(G226+G412+'3. General Model Inputs'!$D$53*G598)*G$6</f>
        <v>26151.050877270911</v>
      </c>
      <c r="H784" s="30">
        <f ca="1">(H226+H412+'3. General Model Inputs'!$D$53*H598)*H$6</f>
        <v>26257.789860443445</v>
      </c>
    </row>
    <row r="785" spans="2:8">
      <c r="B785" s="152">
        <f t="shared" si="209"/>
        <v>0</v>
      </c>
      <c r="D785" s="30">
        <f ca="1">(D227+D413+'3. General Model Inputs'!$D$53*D599)*D$6</f>
        <v>0</v>
      </c>
      <c r="E785" s="30">
        <f ca="1">(E227+E413+'3. General Model Inputs'!$D$53*E599)*E$6</f>
        <v>0</v>
      </c>
      <c r="F785" s="30">
        <f ca="1">(F227+F413+'3. General Model Inputs'!$D$53*F599)*F$6</f>
        <v>0</v>
      </c>
      <c r="G785" s="30">
        <f ca="1">(G227+G413+'3. General Model Inputs'!$D$53*G599)*G$6</f>
        <v>40157.127566639247</v>
      </c>
      <c r="H785" s="30">
        <f ca="1">(H227+H413+'3. General Model Inputs'!$D$53*H599)*H$6</f>
        <v>80494.962207328354</v>
      </c>
    </row>
    <row r="786" spans="2:8">
      <c r="B786" s="152">
        <f t="shared" si="209"/>
        <v>0</v>
      </c>
      <c r="D786" s="30">
        <f ca="1">(D228+D414+'3. General Model Inputs'!$D$53*D600)*D$6</f>
        <v>0</v>
      </c>
      <c r="E786" s="30">
        <f ca="1">(E228+E414+'3. General Model Inputs'!$D$53*E600)*E$6</f>
        <v>0</v>
      </c>
      <c r="F786" s="30">
        <f ca="1">(F228+F414+'3. General Model Inputs'!$D$53*F600)*F$6</f>
        <v>0</v>
      </c>
      <c r="G786" s="30">
        <f ca="1">(G228+G414+'3. General Model Inputs'!$D$53*G600)*G$6</f>
        <v>0</v>
      </c>
      <c r="H786" s="30">
        <f ca="1">(H228+H414+'3. General Model Inputs'!$D$53*H600)*H$6</f>
        <v>54012.61778590639</v>
      </c>
    </row>
    <row r="787" spans="2:8">
      <c r="B787" s="152">
        <f t="shared" si="209"/>
        <v>0</v>
      </c>
      <c r="D787" s="30">
        <f ca="1">(D229+D415+'3. General Model Inputs'!$D$53*D601)*D$6</f>
        <v>0</v>
      </c>
      <c r="E787" s="30">
        <f ca="1">(E229+E415+'3. General Model Inputs'!$D$53*E601)*E$6</f>
        <v>3548.7625000000003</v>
      </c>
      <c r="F787" s="30">
        <f ca="1">(F229+F415+'3. General Model Inputs'!$D$53*F601)*F$6</f>
        <v>7064.994677083334</v>
      </c>
      <c r="G787" s="30">
        <f ca="1">(G229+G415+'3. General Model Inputs'!$D$53*G601)*G$6</f>
        <v>6991.9085252514378</v>
      </c>
      <c r="H787" s="30">
        <f ca="1">(H229+H415+'3. General Model Inputs'!$D$53*H601)*H$6</f>
        <v>6910.7524441547694</v>
      </c>
    </row>
    <row r="788" spans="2:8">
      <c r="B788" s="152">
        <f t="shared" si="209"/>
        <v>0</v>
      </c>
      <c r="D788" s="30">
        <f ca="1">(D230+D416+'3. General Model Inputs'!$D$53*D602)*D$6</f>
        <v>0</v>
      </c>
      <c r="E788" s="30">
        <f ca="1">(E230+E416+'3. General Model Inputs'!$D$53*E602)*E$6</f>
        <v>0</v>
      </c>
      <c r="F788" s="30">
        <f ca="1">(F230+F416+'3. General Model Inputs'!$D$53*F602)*F$6</f>
        <v>5748.2875000000004</v>
      </c>
      <c r="G788" s="30">
        <f ca="1">(G230+G416+'3. General Model Inputs'!$D$53*G602)*G$6</f>
        <v>11443.882364583333</v>
      </c>
      <c r="H788" s="30">
        <f ca="1">(H230+H416+'3. General Model Inputs'!$D$53*H602)*H$6</f>
        <v>11325.497374604885</v>
      </c>
    </row>
    <row r="789" spans="2:8">
      <c r="B789" s="152">
        <f t="shared" si="209"/>
        <v>0</v>
      </c>
      <c r="D789" s="30">
        <f ca="1">(D231+D417+'3. General Model Inputs'!$D$53*D603)*D$6</f>
        <v>0</v>
      </c>
      <c r="E789" s="30">
        <f ca="1">(E231+E417+'3. General Model Inputs'!$D$53*E603)*E$6</f>
        <v>0</v>
      </c>
      <c r="F789" s="30">
        <f ca="1">(F231+F417+'3. General Model Inputs'!$D$53*F603)*F$6</f>
        <v>0</v>
      </c>
      <c r="G789" s="30">
        <f ca="1">(G231+G417+'3. General Model Inputs'!$D$53*G603)*G$6</f>
        <v>41649.075000000004</v>
      </c>
      <c r="H789" s="30">
        <f ca="1">(H231+H417+'3. General Model Inputs'!$D$53*H603)*H$6</f>
        <v>82916.366812499997</v>
      </c>
    </row>
    <row r="790" spans="2:8">
      <c r="B790" s="152">
        <f t="shared" si="209"/>
        <v>0</v>
      </c>
      <c r="D790" s="30">
        <f ca="1">(D232+D418+'3. General Model Inputs'!$D$53*D604)*D$6</f>
        <v>0</v>
      </c>
      <c r="E790" s="30">
        <f ca="1">(E232+E418+'3. General Model Inputs'!$D$53*E604)*E$6</f>
        <v>0</v>
      </c>
      <c r="F790" s="30">
        <f ca="1">(F232+F418+'3. General Model Inputs'!$D$53*F604)*F$6</f>
        <v>0</v>
      </c>
      <c r="G790" s="30">
        <f ca="1">(G232+G418+'3. General Model Inputs'!$D$53*G604)*G$6</f>
        <v>0</v>
      </c>
      <c r="H790" s="30">
        <f ca="1">(H232+H418+'3. General Model Inputs'!$D$53*H604)*H$6</f>
        <v>42862.762500000004</v>
      </c>
    </row>
    <row r="791" spans="2:8">
      <c r="B791" s="152">
        <f t="shared" si="209"/>
        <v>0</v>
      </c>
      <c r="D791" s="30">
        <f ca="1">(D233+D419+'3. General Model Inputs'!$D$53*D605)*D$6</f>
        <v>0</v>
      </c>
      <c r="E791" s="30">
        <f ca="1">(E233+E419+'3. General Model Inputs'!$D$53*E605)*E$6</f>
        <v>0</v>
      </c>
      <c r="F791" s="30">
        <f ca="1">(F233+F419+'3. General Model Inputs'!$D$53*F605)*F$6</f>
        <v>39337.475000000006</v>
      </c>
      <c r="G791" s="30">
        <f ca="1">(G233+G419+'3. General Model Inputs'!$D$53*G605)*G$6</f>
        <v>79154.375476562505</v>
      </c>
      <c r="H791" s="30">
        <f ca="1">(H233+H419+'3. General Model Inputs'!$D$53*H605)*H$6</f>
        <v>80106.231890521172</v>
      </c>
    </row>
    <row r="792" spans="2:8">
      <c r="B792" s="152">
        <f t="shared" si="209"/>
        <v>0</v>
      </c>
      <c r="D792" s="30">
        <f ca="1">(D234+D420+'3. General Model Inputs'!$D$53*D606)*D$6</f>
        <v>0</v>
      </c>
      <c r="E792" s="30">
        <f ca="1">(E234+E420+'3. General Model Inputs'!$D$53*E606)*E$6</f>
        <v>0</v>
      </c>
      <c r="F792" s="30">
        <f ca="1">(F234+F420+'3. General Model Inputs'!$D$53*F606)*F$6</f>
        <v>0</v>
      </c>
      <c r="G792" s="30">
        <f ca="1">(G234+G420+'3. General Model Inputs'!$D$53*G606)*G$6</f>
        <v>34389.875</v>
      </c>
      <c r="H792" s="30">
        <f ca="1">(H234+H420+'3. General Model Inputs'!$D$53*H606)*H$6</f>
        <v>69198.876601562501</v>
      </c>
    </row>
    <row r="793" spans="2:8">
      <c r="B793" s="152">
        <f t="shared" si="209"/>
        <v>0</v>
      </c>
      <c r="D793" s="30">
        <f ca="1">(D235+D421+'3. General Model Inputs'!$D$53*D607)*D$6</f>
        <v>0</v>
      </c>
      <c r="E793" s="30">
        <f ca="1">(E235+E421+'3. General Model Inputs'!$D$53*E607)*E$6</f>
        <v>0</v>
      </c>
      <c r="F793" s="30">
        <f ca="1">(F235+F421+'3. General Model Inputs'!$D$53*F607)*F$6</f>
        <v>0</v>
      </c>
      <c r="G793" s="30">
        <f ca="1">(G235+G421+'3. General Model Inputs'!$D$53*G607)*G$6</f>
        <v>0</v>
      </c>
      <c r="H793" s="30">
        <f ca="1">(H235+H421+'3. General Model Inputs'!$D$53*H607)*H$6</f>
        <v>16263.45</v>
      </c>
    </row>
    <row r="794" spans="2:8">
      <c r="B794" s="152">
        <f t="shared" si="209"/>
        <v>0</v>
      </c>
      <c r="D794" s="30">
        <f ca="1">(D236+D422+'3. General Model Inputs'!$D$53*D608)*D$6</f>
        <v>0</v>
      </c>
      <c r="E794" s="30">
        <f ca="1">(E236+E422+'3. General Model Inputs'!$D$53*E608)*E$6</f>
        <v>2500</v>
      </c>
      <c r="F794" s="30">
        <f ca="1">(F236+F422+'3. General Model Inputs'!$D$53*F608)*F$6</f>
        <v>4998.4375</v>
      </c>
      <c r="G794" s="30">
        <f ca="1">(G236+G422+'3. General Model Inputs'!$D$53*G608)*G$6</f>
        <v>4992.0292467948721</v>
      </c>
      <c r="H794" s="30">
        <f ca="1">(H236+H422+'3. General Model Inputs'!$D$53*H608)*H$6</f>
        <v>4982.1765574919882</v>
      </c>
    </row>
    <row r="795" spans="2:8">
      <c r="B795" s="152">
        <f t="shared" si="209"/>
        <v>0</v>
      </c>
      <c r="D795" s="30">
        <f ca="1">(D237+D423+'3. General Model Inputs'!$D$53*D609)*D$6</f>
        <v>0</v>
      </c>
      <c r="E795" s="30">
        <f ca="1">(E237+E423+'3. General Model Inputs'!$D$53*E609)*E$6</f>
        <v>0</v>
      </c>
      <c r="F795" s="30">
        <f ca="1">(F237+F423+'3. General Model Inputs'!$D$53*F609)*F$6</f>
        <v>7627.3625000000002</v>
      </c>
      <c r="G795" s="30">
        <f ca="1">(G237+G423+'3. General Model Inputs'!$D$53*G609)*G$6</f>
        <v>15249.9578984375</v>
      </c>
      <c r="H795" s="30">
        <f ca="1">(H237+H423+'3. General Model Inputs'!$D$53*H609)*H$6</f>
        <v>15230.406670362581</v>
      </c>
    </row>
    <row r="796" spans="2:8">
      <c r="B796" s="152">
        <f t="shared" si="209"/>
        <v>0</v>
      </c>
      <c r="D796" s="30">
        <f ca="1">(D238+D424+'3. General Model Inputs'!$D$53*D610)*D$6</f>
        <v>0</v>
      </c>
      <c r="E796" s="30">
        <f ca="1">(E238+E424+'3. General Model Inputs'!$D$53*E610)*E$6</f>
        <v>0</v>
      </c>
      <c r="F796" s="30">
        <f ca="1">(F238+F424+'3. General Model Inputs'!$D$53*F610)*F$6</f>
        <v>0</v>
      </c>
      <c r="G796" s="30">
        <f ca="1">(G238+G424+'3. General Model Inputs'!$D$53*G610)*G$6</f>
        <v>29813.800000000003</v>
      </c>
      <c r="H796" s="30">
        <f ca="1">(H238+H424+'3. General Model Inputs'!$D$53*H610)*H$6</f>
        <v>59608.966374999996</v>
      </c>
    </row>
    <row r="797" spans="2:8">
      <c r="B797" s="152">
        <f t="shared" si="209"/>
        <v>0</v>
      </c>
      <c r="D797" s="30">
        <f ca="1">(D239+D425+'3. General Model Inputs'!$D$53*D611)*D$6</f>
        <v>0</v>
      </c>
      <c r="E797" s="30">
        <f ca="1">(E239+E425+'3. General Model Inputs'!$D$53*E611)*E$6</f>
        <v>0</v>
      </c>
      <c r="F797" s="30">
        <f ca="1">(F239+F425+'3. General Model Inputs'!$D$53*F611)*F$6</f>
        <v>0</v>
      </c>
      <c r="G797" s="30">
        <f ca="1">(G239+G425+'3. General Model Inputs'!$D$53*G611)*G$6</f>
        <v>0</v>
      </c>
      <c r="H797" s="30">
        <f ca="1">(H239+H425+'3. General Model Inputs'!$D$53*H611)*H$6</f>
        <v>42862.762500000004</v>
      </c>
    </row>
    <row r="798" spans="2:8">
      <c r="B798" s="152">
        <f t="shared" si="209"/>
        <v>0</v>
      </c>
      <c r="D798" s="30">
        <f ca="1">(D240+D426+'3. General Model Inputs'!$D$53*D612)*D$6</f>
        <v>67355.839124999999</v>
      </c>
      <c r="E798" s="30">
        <f ca="1">(E240+E426+'3. General Model Inputs'!$D$53*E612)*E$6</f>
        <v>135014.77952606251</v>
      </c>
      <c r="F798" s="30">
        <f ca="1">(F240+F426+'3. General Model Inputs'!$D$53*F612)*F$6</f>
        <v>135565.86025882195</v>
      </c>
      <c r="G798" s="30">
        <f ca="1">(G240+G426+'3. General Model Inputs'!$D$53*G612)*G$6</f>
        <v>136060.11079101556</v>
      </c>
      <c r="H798" s="30">
        <f ca="1">(H240+H426+'3. General Model Inputs'!$D$53*H612)*H$6</f>
        <v>136494.3451871571</v>
      </c>
    </row>
    <row r="799" spans="2:8">
      <c r="B799" s="152">
        <f t="shared" si="209"/>
        <v>0</v>
      </c>
      <c r="D799" s="30">
        <f ca="1">(D241+D427+'3. General Model Inputs'!$D$53*D613)*D$6</f>
        <v>0</v>
      </c>
      <c r="E799" s="30">
        <f ca="1">(E241+E427+'3. General Model Inputs'!$D$53*E613)*E$6</f>
        <v>10608.126250000001</v>
      </c>
      <c r="F799" s="30">
        <f ca="1">(F241+F427+'3. General Model Inputs'!$D$53*F613)*F$6</f>
        <v>21263.989068125004</v>
      </c>
      <c r="G799" s="30">
        <f ca="1">(G241+G427+'3. General Model Inputs'!$D$53*G613)*G$6</f>
        <v>21350.7808602398</v>
      </c>
      <c r="H799" s="30">
        <f ca="1">(H241+H427+'3. General Model Inputs'!$D$53*H613)*H$6</f>
        <v>21428.622248792759</v>
      </c>
    </row>
    <row r="800" spans="2:8">
      <c r="B800" s="152">
        <f t="shared" si="209"/>
        <v>0</v>
      </c>
      <c r="D800" s="30">
        <f ca="1">(D242+D428+'3. General Model Inputs'!$D$53*D614)*D$6</f>
        <v>75306.776750000005</v>
      </c>
      <c r="E800" s="30">
        <f ca="1">(E242+E428+'3. General Model Inputs'!$D$53*E614)*E$6</f>
        <v>151531.35484164066</v>
      </c>
      <c r="F800" s="30">
        <f ca="1">(F242+F428+'3. General Model Inputs'!$D$53*F614)*F$6</f>
        <v>153353.56733657175</v>
      </c>
      <c r="G800" s="30">
        <f ca="1">(G242+G428+'3. General Model Inputs'!$D$53*G614)*G$6</f>
        <v>155172.18335947339</v>
      </c>
      <c r="H800" s="30">
        <f ca="1">(H242+H428+'3. General Model Inputs'!$D$53*H614)*H$6</f>
        <v>156985.88420393478</v>
      </c>
    </row>
    <row r="801" spans="2:8">
      <c r="B801" s="152">
        <f t="shared" si="209"/>
        <v>0</v>
      </c>
      <c r="D801" s="30">
        <f ca="1">(D243+D429+'3. General Model Inputs'!$D$53*D615)*D$6</f>
        <v>0</v>
      </c>
      <c r="E801" s="30">
        <f ca="1">(E243+E429+'3. General Model Inputs'!$D$53*E615)*E$6</f>
        <v>2193.9579999999996</v>
      </c>
      <c r="F801" s="30">
        <f ca="1">(F243+F429+'3. General Model Inputs'!$D$53*F615)*F$6</f>
        <v>4414.6548631249998</v>
      </c>
      <c r="G801" s="30">
        <f ca="1">(G243+G429+'3. General Model Inputs'!$D$53*G615)*G$6</f>
        <v>4467.7424848967557</v>
      </c>
      <c r="H801" s="30">
        <f ca="1">(H243+H429+'3. General Model Inputs'!$D$53*H615)*H$6</f>
        <v>4520.7253284676472</v>
      </c>
    </row>
    <row r="802" spans="2:8">
      <c r="B802" s="152">
        <f t="shared" si="209"/>
        <v>0</v>
      </c>
      <c r="D802" s="30">
        <f ca="1">(D244+D430+'3. General Model Inputs'!$D$53*D616)*D$6</f>
        <v>0</v>
      </c>
      <c r="E802" s="30">
        <f ca="1">(E244+E430+'3. General Model Inputs'!$D$53*E616)*E$6</f>
        <v>0</v>
      </c>
      <c r="F802" s="30">
        <f ca="1">(F244+F430+'3. General Model Inputs'!$D$53*F616)*F$6</f>
        <v>0</v>
      </c>
      <c r="G802" s="30">
        <f ca="1">(G244+G430+'3. General Model Inputs'!$D$53*G616)*G$6</f>
        <v>13883.025000000001</v>
      </c>
      <c r="H802" s="30">
        <f ca="1">(H244+H430+'3. General Model Inputs'!$D$53*H616)*H$6</f>
        <v>27875.957281250001</v>
      </c>
    </row>
    <row r="803" spans="2:8">
      <c r="B803" s="152">
        <f t="shared" si="209"/>
        <v>0</v>
      </c>
      <c r="D803" s="30">
        <f ca="1">(D245+D431+'3. General Model Inputs'!$D$53*D617)*D$6</f>
        <v>0</v>
      </c>
      <c r="E803" s="30">
        <f ca="1">(E245+E431+'3. General Model Inputs'!$D$53*E617)*E$6</f>
        <v>0</v>
      </c>
      <c r="F803" s="30">
        <f ca="1">(F245+F431+'3. General Model Inputs'!$D$53*F617)*F$6</f>
        <v>0</v>
      </c>
      <c r="G803" s="30">
        <f ca="1">(G245+G431+'3. General Model Inputs'!$D$53*G617)*G$6</f>
        <v>0</v>
      </c>
      <c r="H803" s="30">
        <f ca="1">(H245+H431+'3. General Model Inputs'!$D$53*H617)*H$6</f>
        <v>57686.137500000004</v>
      </c>
    </row>
    <row r="804" spans="2:8">
      <c r="B804" s="152">
        <f t="shared" si="209"/>
        <v>0</v>
      </c>
      <c r="D804" s="30">
        <f ca="1">(D246+D432+'3. General Model Inputs'!$D$53*D618)*D$6</f>
        <v>0</v>
      </c>
      <c r="E804" s="30">
        <f ca="1">(E246+E432+'3. General Model Inputs'!$D$53*E618)*E$6</f>
        <v>0</v>
      </c>
      <c r="F804" s="30">
        <f ca="1">(F246+F432+'3. General Model Inputs'!$D$53*F618)*F$6</f>
        <v>6692.8545944398738</v>
      </c>
      <c r="G804" s="30">
        <f ca="1">(G246+G432+'3. General Model Inputs'!$D$53*G618)*G$6</f>
        <v>13467.278354249485</v>
      </c>
      <c r="H804" s="30">
        <f ca="1">(H246+H432+'3. General Model Inputs'!$D$53*H618)*H$6</f>
        <v>13629.226638256281</v>
      </c>
    </row>
    <row r="805" spans="2:8">
      <c r="B805" s="152">
        <f t="shared" si="209"/>
        <v>0</v>
      </c>
      <c r="D805" s="30">
        <f ca="1">(D247+D433+'3. General Model Inputs'!$D$53*D619)*D$6</f>
        <v>0</v>
      </c>
      <c r="E805" s="30">
        <f ca="1">(E247+E433+'3. General Model Inputs'!$D$53*E619)*E$6</f>
        <v>0</v>
      </c>
      <c r="F805" s="30">
        <f ca="1">(F247+F433+'3. General Model Inputs'!$D$53*F619)*F$6</f>
        <v>0</v>
      </c>
      <c r="G805" s="30">
        <f ca="1">(G247+G433+'3. General Model Inputs'!$D$53*G619)*G$6</f>
        <v>29351.050643657178</v>
      </c>
      <c r="H805" s="30">
        <f ca="1">(H247+H433+'3. General Model Inputs'!$D$53*H619)*H$6</f>
        <v>59059.817217033931</v>
      </c>
    </row>
    <row r="806" spans="2:8">
      <c r="B806" s="152">
        <f t="shared" si="209"/>
        <v>0</v>
      </c>
      <c r="D806" s="30">
        <f ca="1">(D248+D434+'3. General Model Inputs'!$D$53*D620)*D$6</f>
        <v>0</v>
      </c>
      <c r="E806" s="30">
        <f ca="1">(E248+E434+'3. General Model Inputs'!$D$53*E620)*E$6</f>
        <v>0</v>
      </c>
      <c r="F806" s="30">
        <f ca="1">(F248+F434+'3. General Model Inputs'!$D$53*F620)*F$6</f>
        <v>0</v>
      </c>
      <c r="G806" s="30">
        <f ca="1">(G248+G434+'3. General Model Inputs'!$D$53*G620)*G$6</f>
        <v>0</v>
      </c>
      <c r="H806" s="30">
        <f ca="1">(H248+H434+'3. General Model Inputs'!$D$53*H620)*H$6</f>
        <v>30176.756667397283</v>
      </c>
    </row>
    <row r="807" spans="2:8">
      <c r="B807" s="152">
        <f t="shared" si="209"/>
        <v>0</v>
      </c>
      <c r="D807" s="30">
        <f ca="1">(D249+D435+'3. General Model Inputs'!$D$53*D621)*D$6</f>
        <v>7036.6263750000016</v>
      </c>
      <c r="E807" s="30">
        <f ca="1">(E249+E435+'3. General Model Inputs'!$D$53*E621)*E$6</f>
        <v>14068.854858515628</v>
      </c>
      <c r="F807" s="30">
        <f ca="1">(F249+F435+'3. General Model Inputs'!$D$53*F621)*F$6</f>
        <v>14050.817865107276</v>
      </c>
      <c r="G807" s="30">
        <f ca="1">(G249+G435+'3. General Model Inputs'!$D$53*G621)*G$6</f>
        <v>14023.085987741935</v>
      </c>
      <c r="H807" s="30">
        <f ca="1">(H249+H435+'3. General Model Inputs'!$D$53*H621)*H$6</f>
        <v>13985.185755342633</v>
      </c>
    </row>
    <row r="808" spans="2:8">
      <c r="B808" s="152">
        <f t="shared" si="209"/>
        <v>0</v>
      </c>
      <c r="D808" s="30">
        <f ca="1">(D250+D436+'3. General Model Inputs'!$D$53*D622)*D$6</f>
        <v>0</v>
      </c>
      <c r="E808" s="30">
        <f ca="1">(E250+E436+'3. General Model Inputs'!$D$53*E622)*E$6</f>
        <v>32066.829249999999</v>
      </c>
      <c r="F808" s="30">
        <f ca="1">(F250+F436+'3. General Model Inputs'!$D$53*F622)*F$6</f>
        <v>64113.616731718743</v>
      </c>
      <c r="G808" s="30">
        <f ca="1">(G250+G436+'3. General Model Inputs'!$D$53*G622)*G$6</f>
        <v>64031.419787190891</v>
      </c>
      <c r="H808" s="30">
        <f ca="1">(H250+H436+'3. General Model Inputs'!$D$53*H622)*H$6</f>
        <v>63905.041984979332</v>
      </c>
    </row>
    <row r="809" spans="2:8">
      <c r="B809" s="152">
        <f t="shared" si="209"/>
        <v>0</v>
      </c>
      <c r="D809" s="30">
        <f ca="1">(D251+D437+'3. General Model Inputs'!$D$53*D623)*D$6</f>
        <v>0</v>
      </c>
      <c r="E809" s="30">
        <f ca="1">(E251+E437+'3. General Model Inputs'!$D$53*E623)*E$6</f>
        <v>0</v>
      </c>
      <c r="F809" s="30">
        <f ca="1">(F251+F437+'3. General Model Inputs'!$D$53*F623)*F$6</f>
        <v>25131.25</v>
      </c>
      <c r="G809" s="30">
        <f ca="1">(G251+G437+'3. General Model Inputs'!$D$53*G623)*G$6</f>
        <v>50246.79296875</v>
      </c>
      <c r="H809" s="30">
        <f ca="1">(H251+H437+'3. General Model Inputs'!$D$53*H623)*H$6</f>
        <v>50182.37400340545</v>
      </c>
    </row>
    <row r="810" spans="2:8">
      <c r="B810" s="152">
        <f t="shared" si="209"/>
        <v>0</v>
      </c>
      <c r="D810" s="30">
        <f ca="1">(D252+D438+'3. General Model Inputs'!$D$53*D624)*D$6</f>
        <v>0</v>
      </c>
      <c r="E810" s="30">
        <f ca="1">(E252+E438+'3. General Model Inputs'!$D$53*E624)*E$6</f>
        <v>2500</v>
      </c>
      <c r="F810" s="30">
        <f ca="1">(F252+F438+'3. General Model Inputs'!$D$53*F624)*F$6</f>
        <v>4998.4375</v>
      </c>
      <c r="G810" s="30">
        <f ca="1">(G252+G438+'3. General Model Inputs'!$D$53*G624)*G$6</f>
        <v>4992.0292467948721</v>
      </c>
      <c r="H810" s="30">
        <f ca="1">(H252+H438+'3. General Model Inputs'!$D$53*H624)*H$6</f>
        <v>4982.1765574919882</v>
      </c>
    </row>
    <row r="811" spans="2:8">
      <c r="B811" s="152">
        <f t="shared" si="209"/>
        <v>0</v>
      </c>
      <c r="D811" s="30">
        <f ca="1">(D253+D439+'3. General Model Inputs'!$D$53*D625)*D$6</f>
        <v>0</v>
      </c>
      <c r="E811" s="30">
        <f ca="1">(E253+E439+'3. General Model Inputs'!$D$53*E625)*E$6</f>
        <v>0</v>
      </c>
      <c r="F811" s="30">
        <f ca="1">(F253+F439+'3. General Model Inputs'!$D$53*F625)*F$6</f>
        <v>29382.262500000001</v>
      </c>
      <c r="G811" s="30">
        <f ca="1">(G253+G439+'3. General Model Inputs'!$D$53*G625)*G$6</f>
        <v>58746.1610859375</v>
      </c>
      <c r="H811" s="30">
        <f ca="1">(H253+H439+'3. General Model Inputs'!$D$53*H625)*H$6</f>
        <v>58670.845494801681</v>
      </c>
    </row>
    <row r="812" spans="2:8">
      <c r="B812" s="152">
        <f t="shared" si="209"/>
        <v>0</v>
      </c>
      <c r="D812" s="30">
        <f ca="1">(D254+D440+'3. General Model Inputs'!$D$53*D626)*D$6</f>
        <v>0</v>
      </c>
      <c r="E812" s="30">
        <f ca="1">(E254+E440+'3. General Model Inputs'!$D$53*E626)*E$6</f>
        <v>0</v>
      </c>
      <c r="F812" s="30">
        <f ca="1">(F254+F440+'3. General Model Inputs'!$D$53*F626)*F$6</f>
        <v>0</v>
      </c>
      <c r="G812" s="30">
        <f ca="1">(G254+G440+'3. General Model Inputs'!$D$53*G626)*G$6</f>
        <v>27252.675000000003</v>
      </c>
      <c r="H812" s="30">
        <f ca="1">(H254+H440+'3. General Model Inputs'!$D$53*H626)*H$6</f>
        <v>54488.317078125001</v>
      </c>
    </row>
    <row r="813" spans="2:8">
      <c r="B813" s="152">
        <f t="shared" si="209"/>
        <v>0</v>
      </c>
      <c r="D813" s="30">
        <f ca="1">(D255+D441+'3. General Model Inputs'!$D$53*D627)*D$6</f>
        <v>0</v>
      </c>
      <c r="E813" s="30">
        <f ca="1">(E255+E441+'3. General Model Inputs'!$D$53*E627)*E$6</f>
        <v>2500</v>
      </c>
      <c r="F813" s="30">
        <f ca="1">(F255+F441+'3. General Model Inputs'!$D$53*F627)*F$6</f>
        <v>4998.4375</v>
      </c>
      <c r="G813" s="30">
        <f ca="1">(G255+G441+'3. General Model Inputs'!$D$53*G627)*G$6</f>
        <v>4992.0292467948721</v>
      </c>
      <c r="H813" s="30">
        <f ca="1">(H255+H441+'3. General Model Inputs'!$D$53*H627)*H$6</f>
        <v>4982.1765574919882</v>
      </c>
    </row>
    <row r="814" spans="2:8">
      <c r="B814" s="152">
        <f t="shared" si="209"/>
        <v>0</v>
      </c>
      <c r="D814" s="30">
        <f ca="1">(D256+D442+'3. General Model Inputs'!$D$53*D628)*D$6</f>
        <v>0</v>
      </c>
      <c r="E814" s="30">
        <f ca="1">(E256+E442+'3. General Model Inputs'!$D$53*E628)*E$6</f>
        <v>0</v>
      </c>
      <c r="F814" s="30">
        <f ca="1">(F256+F442+'3. General Model Inputs'!$D$53*F628)*F$6</f>
        <v>30918.825000000001</v>
      </c>
      <c r="G814" s="30">
        <f ca="1">(G256+G442+'3. General Model Inputs'!$D$53*G628)*G$6</f>
        <v>61818.325734375001</v>
      </c>
      <c r="H814" s="30">
        <f ca="1">(H256+H442+'3. General Model Inputs'!$D$53*H628)*H$6</f>
        <v>61739.07147061298</v>
      </c>
    </row>
    <row r="815" spans="2:8">
      <c r="B815" s="152">
        <f t="shared" si="209"/>
        <v>0</v>
      </c>
      <c r="D815" s="30">
        <f ca="1">(D257+D443+'3. General Model Inputs'!$D$53*D629)*D$6</f>
        <v>0</v>
      </c>
      <c r="E815" s="30">
        <f ca="1">(E257+E443+'3. General Model Inputs'!$D$53*E629)*E$6</f>
        <v>0</v>
      </c>
      <c r="F815" s="30">
        <f ca="1">(F257+F443+'3. General Model Inputs'!$D$53*F629)*F$6</f>
        <v>0</v>
      </c>
      <c r="G815" s="30">
        <f ca="1">(G257+G443+'3. General Model Inputs'!$D$53*G629)*G$6</f>
        <v>17353.787500000002</v>
      </c>
      <c r="H815" s="30">
        <f ca="1">(H257+H443+'3. General Model Inputs'!$D$53*H629)*H$6</f>
        <v>34696.728882812502</v>
      </c>
    </row>
    <row r="816" spans="2:8">
      <c r="B816" s="152">
        <f t="shared" si="209"/>
        <v>0</v>
      </c>
      <c r="D816" s="30">
        <f ca="1">(D258+D444+'3. General Model Inputs'!$D$53*D630)*D$6</f>
        <v>0</v>
      </c>
      <c r="E816" s="30">
        <f ca="1">(E258+E444+'3. General Model Inputs'!$D$53*E630)*E$6</f>
        <v>0</v>
      </c>
      <c r="F816" s="30">
        <f ca="1">(F258+F444+'3. General Model Inputs'!$D$53*F630)*F$6</f>
        <v>2320.85</v>
      </c>
      <c r="G816" s="30">
        <f ca="1">(G258+G444+'3. General Model Inputs'!$D$53*G630)*G$6</f>
        <v>4640.2494687500002</v>
      </c>
      <c r="H816" s="30">
        <f ca="1">(H258+H444+'3. General Model Inputs'!$D$53*H630)*H$6</f>
        <v>4634.3004309695516</v>
      </c>
    </row>
    <row r="817" spans="2:8">
      <c r="B817" s="152">
        <f t="shared" si="209"/>
        <v>0</v>
      </c>
      <c r="D817" s="30">
        <f ca="1">(D259+D445+'3. General Model Inputs'!$D$53*D631)*D$6</f>
        <v>0</v>
      </c>
      <c r="E817" s="30">
        <f ca="1">(E259+E445+'3. General Model Inputs'!$D$53*E631)*E$6</f>
        <v>0</v>
      </c>
      <c r="F817" s="30">
        <f ca="1">(F259+F445+'3. General Model Inputs'!$D$53*F631)*F$6</f>
        <v>0</v>
      </c>
      <c r="G817" s="30">
        <f ca="1">(G259+G445+'3. General Model Inputs'!$D$53*G631)*G$6</f>
        <v>26377.75</v>
      </c>
      <c r="H817" s="30">
        <f ca="1">(H259+H445+'3. General Model Inputs'!$D$53*H631)*H$6</f>
        <v>52739.013906250002</v>
      </c>
    </row>
    <row r="818" spans="2:8">
      <c r="B818" s="152">
        <f t="shared" si="209"/>
        <v>0</v>
      </c>
      <c r="D818" s="30">
        <f ca="1">(D260+D446+'3. General Model Inputs'!$D$53*D632)*D$6</f>
        <v>0</v>
      </c>
      <c r="E818" s="30">
        <f ca="1">(E260+E446+'3. General Model Inputs'!$D$53*E632)*E$6</f>
        <v>0</v>
      </c>
      <c r="F818" s="30">
        <f ca="1">(F260+F446+'3. General Model Inputs'!$D$53*F632)*F$6</f>
        <v>0</v>
      </c>
      <c r="G818" s="30">
        <f ca="1">(G260+G446+'3. General Model Inputs'!$D$53*G632)*G$6</f>
        <v>0</v>
      </c>
      <c r="H818" s="30">
        <f ca="1">(H260+H446+'3. General Model Inputs'!$D$53*H632)*H$6</f>
        <v>18573.862499999999</v>
      </c>
    </row>
    <row r="819" spans="2:8">
      <c r="B819" s="152">
        <f t="shared" si="209"/>
        <v>0</v>
      </c>
      <c r="D819" s="30">
        <f ca="1">(D261+D447+'3. General Model Inputs'!$D$53*D633)*D$6</f>
        <v>12562.853000000001</v>
      </c>
      <c r="E819" s="30">
        <f ca="1">(E261+E447+'3. General Model Inputs'!$D$53*E633)*E$6</f>
        <v>25278.815770937501</v>
      </c>
      <c r="F819" s="30">
        <f ca="1">(F261+F447+'3. General Model Inputs'!$D$53*F633)*F$6</f>
        <v>25582.801530208268</v>
      </c>
      <c r="G819" s="30">
        <f ca="1">(G261+G447+'3. General Model Inputs'!$D$53*G633)*G$6</f>
        <v>25886.18731758574</v>
      </c>
      <c r="H819" s="30">
        <f ca="1">(H261+H447+'3. General Model Inputs'!$D$53*H633)*H$6</f>
        <v>26188.753143375703</v>
      </c>
    </row>
    <row r="820" spans="2:8">
      <c r="B820" s="152">
        <f t="shared" si="209"/>
        <v>0</v>
      </c>
      <c r="D820" s="30">
        <f ca="1">(D262+D448+'3. General Model Inputs'!$D$53*D634)*D$6</f>
        <v>0</v>
      </c>
      <c r="E820" s="30">
        <f ca="1">(E262+E448+'3. General Model Inputs'!$D$53*E634)*E$6</f>
        <v>25257.005875000003</v>
      </c>
      <c r="F820" s="30">
        <f ca="1">(F262+F448+'3. General Model Inputs'!$D$53*F634)*F$6</f>
        <v>50821.831509101561</v>
      </c>
      <c r="G820" s="30">
        <f ca="1">(G262+G448+'3. General Model Inputs'!$D$53*G634)*G$6</f>
        <v>51432.980115856582</v>
      </c>
      <c r="H820" s="30">
        <f ca="1">(H262+H448+'3. General Model Inputs'!$D$53*H634)*H$6</f>
        <v>52042.922508256161</v>
      </c>
    </row>
    <row r="821" spans="2:8">
      <c r="B821" s="152">
        <f t="shared" si="209"/>
        <v>0</v>
      </c>
      <c r="D821" s="30">
        <f ca="1">(D263+D449+'3. General Model Inputs'!$D$53*D635)*D$6</f>
        <v>0</v>
      </c>
      <c r="E821" s="30">
        <f ca="1">(E263+E449+'3. General Model Inputs'!$D$53*E635)*E$6</f>
        <v>0</v>
      </c>
      <c r="F821" s="30">
        <f ca="1">(F263+F449+'3. General Model Inputs'!$D$53*F635)*F$6</f>
        <v>4134.7875000000004</v>
      </c>
      <c r="G821" s="30">
        <f ca="1">(G263+G449+'3. General Model Inputs'!$D$53*G635)*G$6</f>
        <v>8319.9677226562508</v>
      </c>
      <c r="H821" s="30">
        <f ca="1">(H263+H449+'3. General Model Inputs'!$D$53*H635)*H$6</f>
        <v>8420.0179674223709</v>
      </c>
    </row>
    <row r="822" spans="2:8">
      <c r="B822" s="152">
        <f t="shared" si="209"/>
        <v>0</v>
      </c>
      <c r="D822" s="30">
        <f ca="1">(D264+D450+'3. General Model Inputs'!$D$53*D636)*D$6</f>
        <v>37517.363125000003</v>
      </c>
      <c r="E822" s="30">
        <f ca="1">(E264+E450+'3. General Model Inputs'!$D$53*E636)*E$6</f>
        <v>74690.817088020834</v>
      </c>
      <c r="F822" s="30">
        <f ca="1">(F264+F450+'3. General Model Inputs'!$D$53*F636)*F$6</f>
        <v>73918.153462972361</v>
      </c>
      <c r="G822" s="30">
        <f ca="1">(G264+G450+'3. General Model Inputs'!$D$53*G636)*G$6</f>
        <v>73060.17489599144</v>
      </c>
      <c r="H822" s="30">
        <f ca="1">(H264+H450+'3. General Model Inputs'!$D$53*H636)*H$6</f>
        <v>72113.098554747106</v>
      </c>
    </row>
    <row r="823" spans="2:8">
      <c r="B823" s="152">
        <f t="shared" si="209"/>
        <v>0</v>
      </c>
      <c r="D823" s="30">
        <f ca="1">(D265+D451+'3. General Model Inputs'!$D$53*D637)*D$6</f>
        <v>0</v>
      </c>
      <c r="E823" s="30">
        <f ca="1">(E265+E451+'3. General Model Inputs'!$D$53*E637)*E$6</f>
        <v>1005.8868750000001</v>
      </c>
      <c r="F823" s="30">
        <f ca="1">(F265+F451+'3. General Model Inputs'!$D$53*F637)*F$6</f>
        <v>2002.5531203125004</v>
      </c>
      <c r="G823" s="30">
        <f ca="1">(G265+G451+'3. General Model Inputs'!$D$53*G637)*G$6</f>
        <v>1981.8370535506467</v>
      </c>
      <c r="H823" s="30">
        <f ca="1">(H265+H451+'3. General Model Inputs'!$D$53*H637)*H$6</f>
        <v>1958.8335877505051</v>
      </c>
    </row>
    <row r="824" spans="2:8">
      <c r="B824" s="152">
        <f t="shared" si="209"/>
        <v>0</v>
      </c>
      <c r="D824" s="30">
        <f ca="1">(D266+D452+'3. General Model Inputs'!$D$53*D638)*D$6</f>
        <v>4010.2963749999999</v>
      </c>
      <c r="E824" s="30">
        <f ca="1">(E266+E452+'3. General Model Inputs'!$D$53*E638)*E$6</f>
        <v>8038.6390836874989</v>
      </c>
      <c r="F824" s="30">
        <f ca="1">(F266+F452+'3. General Model Inputs'!$D$53*F638)*F$6</f>
        <v>8071.449855457653</v>
      </c>
      <c r="G824" s="30">
        <f ca="1">(G266+G452+'3. General Model Inputs'!$D$53*G638)*G$6</f>
        <v>8100.8770163890076</v>
      </c>
      <c r="H824" s="30">
        <f ca="1">(H266+H452+'3. General Model Inputs'!$D$53*H638)*H$6</f>
        <v>8126.7308792072699</v>
      </c>
    </row>
    <row r="825" spans="2:8">
      <c r="B825" s="152">
        <f t="shared" si="209"/>
        <v>0</v>
      </c>
      <c r="D825" s="30">
        <f ca="1">(D267+D453+'3. General Model Inputs'!$D$53*D639)*D$6</f>
        <v>0</v>
      </c>
      <c r="E825" s="30">
        <f ca="1">(E267+E453+'3. General Model Inputs'!$D$53*E639)*E$6</f>
        <v>22407.724750000001</v>
      </c>
      <c r="F825" s="30">
        <f ca="1">(F267+F453+'3. General Model Inputs'!$D$53*F639)*F$6</f>
        <v>44916.284261375004</v>
      </c>
      <c r="G825" s="30">
        <f ca="1">(G267+G453+'3. General Model Inputs'!$D$53*G639)*G$6</f>
        <v>45099.616033870407</v>
      </c>
      <c r="H825" s="30">
        <f ca="1">(H267+H453+'3. General Model Inputs'!$D$53*H639)*H$6</f>
        <v>45264.041717327229</v>
      </c>
    </row>
    <row r="826" spans="2:8">
      <c r="B826" s="152">
        <f t="shared" si="209"/>
        <v>0</v>
      </c>
      <c r="D826" s="30">
        <f ca="1">(D268+D454+'3. General Model Inputs'!$D$53*D640)*D$6</f>
        <v>0</v>
      </c>
      <c r="E826" s="30">
        <f ca="1">(E268+E454+'3. General Model Inputs'!$D$53*E640)*E$6</f>
        <v>0</v>
      </c>
      <c r="F826" s="30">
        <f ca="1">(F268+F454+'3. General Model Inputs'!$D$53*F640)*F$6</f>
        <v>625</v>
      </c>
      <c r="G826" s="30">
        <f ca="1">(G268+G454+'3. General Model Inputs'!$D$53*G640)*G$6</f>
        <v>1252.8125</v>
      </c>
      <c r="H826" s="30">
        <f ca="1">(H268+H454+'3. General Model Inputs'!$D$53*H640)*H$6</f>
        <v>1257.9260204081634</v>
      </c>
    </row>
    <row r="827" spans="2:8">
      <c r="B827" s="152">
        <f t="shared" si="209"/>
        <v>0</v>
      </c>
      <c r="D827" s="30">
        <f ca="1">(D269+D455+'3. General Model Inputs'!$D$53*D641)*D$6</f>
        <v>0</v>
      </c>
      <c r="E827" s="30">
        <f ca="1">(E269+E455+'3. General Model Inputs'!$D$53*E641)*E$6</f>
        <v>0</v>
      </c>
      <c r="F827" s="30">
        <f ca="1">(F269+F455+'3. General Model Inputs'!$D$53*F641)*F$6</f>
        <v>0</v>
      </c>
      <c r="G827" s="30">
        <f ca="1">(G269+G455+'3. General Model Inputs'!$D$53*G641)*G$6</f>
        <v>3470.7625000000003</v>
      </c>
      <c r="H827" s="30">
        <f ca="1">(H269+H455+'3. General Model Inputs'!$D$53*H641)*H$6</f>
        <v>6939.3557734375008</v>
      </c>
    </row>
    <row r="828" spans="2:8">
      <c r="B828" s="152">
        <f t="shared" si="209"/>
        <v>0</v>
      </c>
      <c r="D828" s="30">
        <f ca="1">(D270+D456+'3. General Model Inputs'!$D$53*D642)*D$6</f>
        <v>0</v>
      </c>
      <c r="E828" s="30">
        <f ca="1">(E270+E456+'3. General Model Inputs'!$D$53*E642)*E$6</f>
        <v>0</v>
      </c>
      <c r="F828" s="30">
        <f ca="1">(F270+F456+'3. General Model Inputs'!$D$53*F642)*F$6</f>
        <v>0</v>
      </c>
      <c r="G828" s="30">
        <f ca="1">(G270+G456+'3. General Model Inputs'!$D$53*G642)*G$6</f>
        <v>0</v>
      </c>
      <c r="H828" s="30">
        <f ca="1">(H270+H456+'3. General Model Inputs'!$D$53*H642)*H$6</f>
        <v>23217.325000000001</v>
      </c>
    </row>
    <row r="829" spans="2:8">
      <c r="B829" s="152">
        <f t="shared" si="209"/>
        <v>0</v>
      </c>
      <c r="D829" s="30">
        <f ca="1">(D271+D457+'3. General Model Inputs'!$D$53*D643)*D$6</f>
        <v>1588.0152499999999</v>
      </c>
      <c r="E829" s="30">
        <f ca="1">(E271+E457+'3. General Model Inputs'!$D$53*E643)*E$6</f>
        <v>3188.6022873958332</v>
      </c>
      <c r="F829" s="30">
        <f ca="1">(F271+F457+'3. General Model Inputs'!$D$53*F643)*F$6</f>
        <v>3212.9221353505473</v>
      </c>
      <c r="G829" s="30">
        <f ca="1">(G271+G457+'3. General Model Inputs'!$D$53*G643)*G$6</f>
        <v>3236.4650992733746</v>
      </c>
      <c r="H829" s="30">
        <f ca="1">(H271+H457+'3. General Model Inputs'!$D$53*H643)*H$6</f>
        <v>3259.1771350577492</v>
      </c>
    </row>
    <row r="830" spans="2:8">
      <c r="B830" s="152">
        <f t="shared" si="209"/>
        <v>0</v>
      </c>
      <c r="D830" s="30">
        <f ca="1">(D272+D458+'3. General Model Inputs'!$D$53*D644)*D$6</f>
        <v>0</v>
      </c>
      <c r="E830" s="30">
        <f ca="1">(E272+E458+'3. General Model Inputs'!$D$53*E644)*E$6</f>
        <v>6133.1452500000005</v>
      </c>
      <c r="F830" s="30">
        <f ca="1">(F272+F458+'3. General Model Inputs'!$D$53*F644)*F$6</f>
        <v>12314.8445665625</v>
      </c>
      <c r="G830" s="30">
        <f ca="1">(G272+G458+'3. General Model Inputs'!$D$53*G644)*G$6</f>
        <v>12408.771347154927</v>
      </c>
      <c r="H830" s="30">
        <f ca="1">(H272+H458+'3. General Model Inputs'!$D$53*H644)*H$6</f>
        <v>12499.697688922872</v>
      </c>
    </row>
    <row r="831" spans="2:8">
      <c r="B831" s="152">
        <f t="shared" si="209"/>
        <v>0</v>
      </c>
      <c r="D831" s="30">
        <f ca="1">(D273+D459+'3. General Model Inputs'!$D$53*D645)*D$6</f>
        <v>0</v>
      </c>
      <c r="E831" s="30">
        <f ca="1">(E273+E459+'3. General Model Inputs'!$D$53*E645)*E$6</f>
        <v>0</v>
      </c>
      <c r="F831" s="30">
        <f ca="1">(F273+F459+'3. General Model Inputs'!$D$53*F645)*F$6</f>
        <v>5401.2625000000007</v>
      </c>
      <c r="G831" s="30">
        <f ca="1">(G273+G459+'3. General Model Inputs'!$D$53*G645)*G$6</f>
        <v>10845.284994791667</v>
      </c>
      <c r="H831" s="30">
        <f ca="1">(H273+H459+'3. General Model Inputs'!$D$53*H645)*H$6</f>
        <v>10928.003270175672</v>
      </c>
    </row>
    <row r="832" spans="2:8">
      <c r="B832" s="152">
        <f t="shared" si="209"/>
        <v>0</v>
      </c>
      <c r="D832" s="30">
        <f ca="1">(D274+D460+'3. General Model Inputs'!$D$53*D646)*D$6</f>
        <v>0</v>
      </c>
      <c r="E832" s="30">
        <f ca="1">(E274+E460+'3. General Model Inputs'!$D$53*E646)*E$6</f>
        <v>0</v>
      </c>
      <c r="F832" s="30">
        <f ca="1">(F274+F460+'3. General Model Inputs'!$D$53*F646)*F$6</f>
        <v>0</v>
      </c>
      <c r="G832" s="30">
        <f ca="1">(G274+G460+'3. General Model Inputs'!$D$53*G646)*G$6</f>
        <v>5553.2125000000005</v>
      </c>
      <c r="H832" s="30">
        <f ca="1">(H274+H460+'3. General Model Inputs'!$D$53*H646)*H$6</f>
        <v>11150.387932291667</v>
      </c>
    </row>
    <row r="833" spans="2:8">
      <c r="B833" s="152">
        <f t="shared" si="209"/>
        <v>0</v>
      </c>
      <c r="D833" s="30">
        <f ca="1">(D275+D461+'3. General Model Inputs'!$D$53*D647)*D$6</f>
        <v>0</v>
      </c>
      <c r="E833" s="30">
        <f ca="1">(E275+E461+'3. General Model Inputs'!$D$53*E647)*E$6</f>
        <v>0</v>
      </c>
      <c r="F833" s="30">
        <f ca="1">(F275+F461+'3. General Model Inputs'!$D$53*F647)*F$6</f>
        <v>0</v>
      </c>
      <c r="G833" s="30">
        <f ca="1">(G275+G461+'3. General Model Inputs'!$D$53*G647)*G$6</f>
        <v>0</v>
      </c>
      <c r="H833" s="30">
        <f ca="1">(H275+H461+'3. General Model Inputs'!$D$53*H647)*H$6</f>
        <v>5715.0375000000004</v>
      </c>
    </row>
    <row r="834" spans="2:8">
      <c r="B834" s="152">
        <f t="shared" si="209"/>
        <v>0</v>
      </c>
      <c r="D834" s="30">
        <f ca="1">(D276+D462+'3. General Model Inputs'!$D$53*D648)*D$6</f>
        <v>4092.9827499999992</v>
      </c>
      <c r="E834" s="30">
        <f ca="1">(E276+E462+'3. General Model Inputs'!$D$53*E648)*E$6</f>
        <v>8235.8487272656239</v>
      </c>
      <c r="F834" s="30">
        <f ca="1">(F276+F462+'3. General Model Inputs'!$D$53*F648)*F$6</f>
        <v>8334.8874144922356</v>
      </c>
      <c r="G834" s="30">
        <f ca="1">(G276+G462+'3. General Model Inputs'!$D$53*G648)*G$6</f>
        <v>8433.730630625636</v>
      </c>
      <c r="H834" s="30">
        <f ca="1">(H276+H462+'3. General Model Inputs'!$D$53*H648)*H$6</f>
        <v>8532.3067029316499</v>
      </c>
    </row>
    <row r="835" spans="2:8">
      <c r="B835" s="152">
        <f t="shared" si="209"/>
        <v>0</v>
      </c>
      <c r="D835" s="30">
        <f ca="1">(D277+D463+'3. General Model Inputs'!$D$53*D649)*D$6</f>
        <v>0</v>
      </c>
      <c r="E835" s="30">
        <f ca="1">(E277+E463+'3. General Model Inputs'!$D$53*E649)*E$6</f>
        <v>19920.50675</v>
      </c>
      <c r="F835" s="30">
        <f ca="1">(F277+F463+'3. General Model Inputs'!$D$53*F649)*F$6</f>
        <v>40083.794676015626</v>
      </c>
      <c r="G835" s="30">
        <f ca="1">(G277+G463+'3. General Model Inputs'!$D$53*G649)*G$6</f>
        <v>40565.81499173987</v>
      </c>
      <c r="H835" s="30">
        <f ca="1">(H277+H463+'3. General Model Inputs'!$D$53*H649)*H$6</f>
        <v>41046.883951577802</v>
      </c>
    </row>
    <row r="836" spans="2:8">
      <c r="B836" s="152">
        <f t="shared" si="209"/>
        <v>0</v>
      </c>
      <c r="D836" s="30">
        <f ca="1">(D278+D464+'3. General Model Inputs'!$D$53*D650)*D$6</f>
        <v>0</v>
      </c>
      <c r="E836" s="30">
        <f ca="1">(E278+E464+'3. General Model Inputs'!$D$53*E650)*E$6</f>
        <v>0</v>
      </c>
      <c r="F836" s="30">
        <f ca="1">(F278+F464+'3. General Model Inputs'!$D$53*F650)*F$6</f>
        <v>1350.3125</v>
      </c>
      <c r="G836" s="30">
        <f ca="1">(G278+G464+'3. General Model Inputs'!$D$53*G650)*G$6</f>
        <v>2711.3149739583332</v>
      </c>
      <c r="H836" s="30">
        <f ca="1">(H278+H464+'3. General Model Inputs'!$D$53*H650)*H$6</f>
        <v>2731.9944949461515</v>
      </c>
    </row>
    <row r="837" spans="2:8">
      <c r="B837" s="152">
        <f t="shared" si="209"/>
        <v>0</v>
      </c>
      <c r="D837" s="30">
        <f ca="1">(D279+D465+'3. General Model Inputs'!$D$53*D651)*D$6</f>
        <v>0</v>
      </c>
      <c r="E837" s="30">
        <f ca="1">(E279+E465+'3. General Model Inputs'!$D$53*E651)*E$6</f>
        <v>0</v>
      </c>
      <c r="F837" s="30">
        <f ca="1">(F279+F465+'3. General Model Inputs'!$D$53*F651)*F$6</f>
        <v>0</v>
      </c>
      <c r="G837" s="30">
        <f ca="1">(G279+G465+'3. General Model Inputs'!$D$53*G651)*G$6</f>
        <v>14341.650000000001</v>
      </c>
      <c r="H837" s="30">
        <f ca="1">(H279+H465+'3. General Model Inputs'!$D$53*H651)*H$6</f>
        <v>28796.838062499999</v>
      </c>
    </row>
    <row r="838" spans="2:8">
      <c r="B838" s="152">
        <f t="shared" si="209"/>
        <v>0</v>
      </c>
      <c r="D838" s="30">
        <f ca="1">(D280+D466+'3. General Model Inputs'!$D$53*D652)*D$6</f>
        <v>0</v>
      </c>
      <c r="E838" s="30">
        <f ca="1">(E280+E466+'3. General Model Inputs'!$D$53*E652)*E$6</f>
        <v>0</v>
      </c>
      <c r="F838" s="30">
        <f ca="1">(F280+F466+'3. General Model Inputs'!$D$53*F652)*F$6</f>
        <v>0</v>
      </c>
      <c r="G838" s="30">
        <f ca="1">(G280+G466+'3. General Model Inputs'!$D$53*G652)*G$6</f>
        <v>1388.3000000000002</v>
      </c>
      <c r="H838" s="30">
        <f ca="1">(H280+H466+'3. General Model Inputs'!$D$53*H652)*H$6</f>
        <v>2775.7323125000003</v>
      </c>
    </row>
    <row r="839" spans="2:8">
      <c r="B839" s="152">
        <f t="shared" si="209"/>
        <v>0</v>
      </c>
      <c r="D839" s="30">
        <f ca="1">(D281+D467+'3. General Model Inputs'!$D$53*D653)*D$6</f>
        <v>0</v>
      </c>
      <c r="E839" s="30">
        <f ca="1">(E281+E467+'3. General Model Inputs'!$D$53*E653)*E$6</f>
        <v>0</v>
      </c>
      <c r="F839" s="30">
        <f ca="1">(F281+F467+'3. General Model Inputs'!$D$53*F653)*F$6</f>
        <v>0</v>
      </c>
      <c r="G839" s="30">
        <f ca="1">(G281+G467+'3. General Model Inputs'!$D$53*G653)*G$6</f>
        <v>0</v>
      </c>
      <c r="H839" s="30">
        <f ca="1">(H281+H467+'3. General Model Inputs'!$D$53*H653)*H$6</f>
        <v>13019.5625</v>
      </c>
    </row>
    <row r="840" spans="2:8">
      <c r="B840" s="152">
        <f t="shared" si="209"/>
        <v>0</v>
      </c>
      <c r="D840" s="30">
        <f ca="1">(D282+D468+'3. General Model Inputs'!$D$53*D654)*D$6</f>
        <v>4864.4277500000007</v>
      </c>
      <c r="E840" s="30">
        <f ca="1">(E282+E468+'3. General Model Inputs'!$D$53*E654)*E$6</f>
        <v>9725.8152326562522</v>
      </c>
      <c r="F840" s="30">
        <f ca="1">(F282+F468+'3. General Model Inputs'!$D$53*F654)*F$6</f>
        <v>9713.3462387682303</v>
      </c>
      <c r="G840" s="30">
        <f ca="1">(G282+G468+'3. General Model Inputs'!$D$53*G654)*G$6</f>
        <v>9694.1751606653979</v>
      </c>
      <c r="H840" s="30">
        <f ca="1">(H282+H468+'3. General Model Inputs'!$D$53*H654)*H$6</f>
        <v>9667.9746872581945</v>
      </c>
    </row>
    <row r="841" spans="2:8">
      <c r="B841" s="152">
        <f t="shared" si="209"/>
        <v>0</v>
      </c>
      <c r="D841" s="30">
        <f ca="1">(D283+D469+'3. General Model Inputs'!$D$53*D655)*D$6</f>
        <v>0</v>
      </c>
      <c r="E841" s="30">
        <f ca="1">(E283+E469+'3. General Model Inputs'!$D$53*E655)*E$6</f>
        <v>8894.5969999999998</v>
      </c>
      <c r="F841" s="30">
        <f ca="1">(F283+F469+'3. General Model Inputs'!$D$53*F655)*F$6</f>
        <v>17783.634876874999</v>
      </c>
      <c r="G841" s="30">
        <f ca="1">(G283+G469+'3. General Model Inputs'!$D$53*G655)*G$6</f>
        <v>17760.835344981573</v>
      </c>
      <c r="H841" s="30">
        <f ca="1">(H283+H469+'3. General Model Inputs'!$D$53*H655)*H$6</f>
        <v>17725.781064695424</v>
      </c>
    </row>
    <row r="842" spans="2:8">
      <c r="B842" s="152">
        <f t="shared" si="209"/>
        <v>0</v>
      </c>
      <c r="D842" s="30">
        <f ca="1">(D284+D470+'3. General Model Inputs'!$D$53*D656)*D$6</f>
        <v>0</v>
      </c>
      <c r="E842" s="30">
        <f ca="1">(E284+E470+'3. General Model Inputs'!$D$53*E656)*E$6</f>
        <v>0</v>
      </c>
      <c r="F842" s="30">
        <f ca="1">(F284+F470+'3. General Model Inputs'!$D$53*F656)*F$6</f>
        <v>0</v>
      </c>
      <c r="G842" s="30">
        <f ca="1">(G284+G470+'3. General Model Inputs'!$D$53*G656)*G$6</f>
        <v>5206.1375000000007</v>
      </c>
      <c r="H842" s="30">
        <f ca="1">(H284+H470+'3. General Model Inputs'!$D$53*H656)*H$6</f>
        <v>10409.0211640625</v>
      </c>
    </row>
    <row r="843" spans="2:8">
      <c r="B843" s="152">
        <f t="shared" ref="B843:B906" si="210">B657</f>
        <v>0</v>
      </c>
      <c r="D843" s="30">
        <f ca="1">(D285+D471+'3. General Model Inputs'!$D$53*D657)*D$6</f>
        <v>0</v>
      </c>
      <c r="E843" s="30">
        <f ca="1">(E285+E471+'3. General Model Inputs'!$D$53*E657)*E$6</f>
        <v>0</v>
      </c>
      <c r="F843" s="30">
        <f ca="1">(F285+F471+'3. General Model Inputs'!$D$53*F657)*F$6</f>
        <v>0</v>
      </c>
      <c r="G843" s="30">
        <f ca="1">(G285+G471+'3. General Model Inputs'!$D$53*G657)*G$6</f>
        <v>0</v>
      </c>
      <c r="H843" s="30">
        <f ca="1">(H285+H471+'3. General Model Inputs'!$D$53*H657)*H$6</f>
        <v>7322.3875000000007</v>
      </c>
    </row>
    <row r="844" spans="2:8">
      <c r="B844" s="152">
        <f t="shared" si="210"/>
        <v>0</v>
      </c>
      <c r="D844" s="30">
        <f ca="1">(D286+D472+'3. General Model Inputs'!$D$53*D658)*D$6</f>
        <v>0</v>
      </c>
      <c r="E844" s="30">
        <f ca="1">(E286+E472+'3. General Model Inputs'!$D$53*E658)*E$6</f>
        <v>0</v>
      </c>
      <c r="F844" s="30">
        <f ca="1">(F286+F472+'3. General Model Inputs'!$D$53*F658)*F$6</f>
        <v>0</v>
      </c>
      <c r="G844" s="30">
        <f ca="1">(G286+G472+'3. General Model Inputs'!$D$53*G658)*G$6</f>
        <v>1735.375</v>
      </c>
      <c r="H844" s="30">
        <f ca="1">(H286+H472+'3. General Model Inputs'!$D$53*H658)*H$6</f>
        <v>3478.5591875</v>
      </c>
    </row>
    <row r="845" spans="2:8">
      <c r="B845" s="152">
        <f t="shared" si="210"/>
        <v>0</v>
      </c>
      <c r="D845" s="30">
        <f ca="1">(D287+D473+'3. General Model Inputs'!$D$53*D659)*D$6</f>
        <v>0</v>
      </c>
      <c r="E845" s="30">
        <f ca="1">(E287+E473+'3. General Model Inputs'!$D$53*E659)*E$6</f>
        <v>0</v>
      </c>
      <c r="F845" s="30">
        <f ca="1">(F287+F473+'3. General Model Inputs'!$D$53*F659)*F$6</f>
        <v>0</v>
      </c>
      <c r="G845" s="30">
        <f ca="1">(G287+G473+'3. General Model Inputs'!$D$53*G659)*G$6</f>
        <v>0</v>
      </c>
      <c r="H845" s="30">
        <f ca="1">(H287+H473+'3. General Model Inputs'!$D$53*H659)*H$6</f>
        <v>10715.6875</v>
      </c>
    </row>
    <row r="846" spans="2:8">
      <c r="B846" s="152">
        <f t="shared" si="210"/>
        <v>0</v>
      </c>
      <c r="D846" s="30">
        <f ca="1">(D288+D474+'3. General Model Inputs'!$D$53*D660)*D$6</f>
        <v>0</v>
      </c>
      <c r="E846" s="30">
        <f ca="1">(E288+E474+'3. General Model Inputs'!$D$53*E660)*E$6</f>
        <v>0</v>
      </c>
      <c r="F846" s="30">
        <f ca="1">(F288+F474+'3. General Model Inputs'!$D$53*F660)*F$6</f>
        <v>0</v>
      </c>
      <c r="G846" s="30">
        <f ca="1">(G288+G474+'3. General Model Inputs'!$D$53*G660)*G$6</f>
        <v>2429.5250000000001</v>
      </c>
      <c r="H846" s="30">
        <f ca="1">(H288+H474+'3. General Model Inputs'!$D$53*H660)*H$6</f>
        <v>4888.6598359375002</v>
      </c>
    </row>
    <row r="847" spans="2:8">
      <c r="B847" s="152">
        <f t="shared" si="210"/>
        <v>0</v>
      </c>
      <c r="D847" s="30">
        <f ca="1">(D289+D475+'3. General Model Inputs'!$D$53*D661)*D$6</f>
        <v>0</v>
      </c>
      <c r="E847" s="30">
        <f ca="1">(E289+E475+'3. General Model Inputs'!$D$53*E661)*E$6</f>
        <v>0</v>
      </c>
      <c r="F847" s="30">
        <f ca="1">(F289+F475+'3. General Model Inputs'!$D$53*F661)*F$6</f>
        <v>0</v>
      </c>
      <c r="G847" s="30">
        <f ca="1">(G289+G475+'3. General Model Inputs'!$D$53*G661)*G$6</f>
        <v>0</v>
      </c>
      <c r="H847" s="30">
        <f ca="1">(H289+H475+'3. General Model Inputs'!$D$53*H661)*H$6</f>
        <v>8572.5500000000011</v>
      </c>
    </row>
    <row r="848" spans="2:8">
      <c r="B848" s="152">
        <f t="shared" si="210"/>
        <v>0</v>
      </c>
      <c r="D848" s="30">
        <f ca="1">(D290+D476+'3. General Model Inputs'!$D$53*D662)*D$6</f>
        <v>0</v>
      </c>
      <c r="E848" s="30">
        <f ca="1">(E290+E476+'3. General Model Inputs'!$D$53*E662)*E$6</f>
        <v>0</v>
      </c>
      <c r="F848" s="30">
        <f ca="1">(F290+F476+'3. General Model Inputs'!$D$53*F662)*F$6</f>
        <v>3375.7875000000004</v>
      </c>
      <c r="G848" s="30">
        <f ca="1">(G290+G476+'3. General Model Inputs'!$D$53*G662)*G$6</f>
        <v>6749.4651328125001</v>
      </c>
      <c r="H848" s="30">
        <f ca="1">(H290+H476+'3. General Model Inputs'!$D$53*H662)*H$6</f>
        <v>6740.8119723858172</v>
      </c>
    </row>
    <row r="849" spans="2:8">
      <c r="B849" s="152">
        <f t="shared" si="210"/>
        <v>0</v>
      </c>
      <c r="D849" s="30">
        <f ca="1">(D291+D477+'3. General Model Inputs'!$D$53*D663)*D$6</f>
        <v>0</v>
      </c>
      <c r="E849" s="30">
        <f ca="1">(E291+E477+'3. General Model Inputs'!$D$53*E663)*E$6</f>
        <v>0</v>
      </c>
      <c r="F849" s="30">
        <f ca="1">(F291+F477+'3. General Model Inputs'!$D$53*F663)*F$6</f>
        <v>0</v>
      </c>
      <c r="G849" s="30">
        <f ca="1">(G291+G477+'3. General Model Inputs'!$D$53*G663)*G$6</f>
        <v>3470.7625000000003</v>
      </c>
      <c r="H849" s="30">
        <f ca="1">(H291+H477+'3. General Model Inputs'!$D$53*H663)*H$6</f>
        <v>6939.3557734375008</v>
      </c>
    </row>
    <row r="850" spans="2:8">
      <c r="B850" s="152">
        <f t="shared" si="210"/>
        <v>0</v>
      </c>
      <c r="D850" s="30">
        <f ca="1">(D292+D478+'3. General Model Inputs'!$D$53*D664)*D$6</f>
        <v>0</v>
      </c>
      <c r="E850" s="30">
        <f ca="1">(E292+E478+'3. General Model Inputs'!$D$53*E664)*E$6</f>
        <v>0</v>
      </c>
      <c r="F850" s="30">
        <f ca="1">(F292+F478+'3. General Model Inputs'!$D$53*F664)*F$6</f>
        <v>0</v>
      </c>
      <c r="G850" s="30">
        <f ca="1">(G292+G478+'3. General Model Inputs'!$D$53*G664)*G$6</f>
        <v>0</v>
      </c>
      <c r="H850" s="30">
        <f ca="1">(H292+H478+'3. General Model Inputs'!$D$53*H664)*H$6</f>
        <v>4107.6875</v>
      </c>
    </row>
    <row r="851" spans="2:8">
      <c r="B851" s="152">
        <f t="shared" si="210"/>
        <v>0</v>
      </c>
      <c r="D851" s="30">
        <f ca="1">(D293+D479+'3. General Model Inputs'!$D$53*D665)*D$6</f>
        <v>0</v>
      </c>
      <c r="E851" s="30">
        <f ca="1">(E293+E479+'3. General Model Inputs'!$D$53*E665)*E$6</f>
        <v>0</v>
      </c>
      <c r="F851" s="30">
        <f ca="1">(F293+F479+'3. General Model Inputs'!$D$53*F665)*F$6</f>
        <v>0</v>
      </c>
      <c r="G851" s="30">
        <f ca="1">(G293+G479+'3. General Model Inputs'!$D$53*G665)*G$6</f>
        <v>0</v>
      </c>
      <c r="H851" s="30">
        <f ca="1">(H293+H479+'3. General Model Inputs'!$D$53*H665)*H$6</f>
        <v>8929.7375000000011</v>
      </c>
    </row>
    <row r="852" spans="2:8">
      <c r="B852" s="152">
        <f t="shared" si="210"/>
        <v>0</v>
      </c>
      <c r="D852" s="30">
        <f ca="1">(D294+D480+'3. General Model Inputs'!$D$53*D666)*D$6</f>
        <v>0</v>
      </c>
      <c r="E852" s="30">
        <f ca="1">(E294+E480+'3. General Model Inputs'!$D$53*E666)*E$6</f>
        <v>0</v>
      </c>
      <c r="F852" s="30">
        <f ca="1">(F294+F480+'3. General Model Inputs'!$D$53*F666)*F$6</f>
        <v>0</v>
      </c>
      <c r="G852" s="30">
        <f ca="1">(G294+G480+'3. General Model Inputs'!$D$53*G666)*G$6</f>
        <v>0</v>
      </c>
      <c r="H852" s="30">
        <f ca="1">(H294+H480+'3. General Model Inputs'!$D$53*H666)*H$6</f>
        <v>8929.7375000000011</v>
      </c>
    </row>
    <row r="853" spans="2:8">
      <c r="B853" s="152">
        <f t="shared" si="210"/>
        <v>0</v>
      </c>
      <c r="D853" s="30">
        <f ca="1">(D295+D481+'3. General Model Inputs'!$D$53*D667)*D$6</f>
        <v>0</v>
      </c>
      <c r="E853" s="30">
        <f ca="1">(E295+E481+'3. General Model Inputs'!$D$53*E667)*E$6</f>
        <v>0</v>
      </c>
      <c r="F853" s="30">
        <f ca="1">(F295+F481+'3. General Model Inputs'!$D$53*F667)*F$6</f>
        <v>0</v>
      </c>
      <c r="G853" s="30">
        <f ca="1">(G295+G481+'3. General Model Inputs'!$D$53*G667)*G$6</f>
        <v>2141.71347022076</v>
      </c>
      <c r="H853" s="30">
        <f ca="1">(H295+H481+'3. General Model Inputs'!$D$53*H667)*H$6</f>
        <v>4282.0883695226321</v>
      </c>
    </row>
    <row r="854" spans="2:8">
      <c r="B854" s="152">
        <f t="shared" si="210"/>
        <v>0</v>
      </c>
      <c r="D854" s="30">
        <f ca="1">(D296+D482+'3. General Model Inputs'!$D$53*D668)*D$6</f>
        <v>0</v>
      </c>
      <c r="E854" s="30">
        <f ca="1">(E296+E482+'3. General Model Inputs'!$D$53*E668)*E$6</f>
        <v>0</v>
      </c>
      <c r="F854" s="30">
        <f ca="1">(F296+F482+'3. General Model Inputs'!$D$53*F668)*F$6</f>
        <v>0</v>
      </c>
      <c r="G854" s="30">
        <f ca="1">(G296+G482+'3. General Model Inputs'!$D$53*G668)*G$6</f>
        <v>0</v>
      </c>
      <c r="H854" s="30">
        <f ca="1">(H296+H482+'3. General Model Inputs'!$D$53*H668)*H$6</f>
        <v>6751.5772232382988</v>
      </c>
    </row>
    <row r="855" spans="2:8">
      <c r="B855" s="152">
        <f t="shared" si="210"/>
        <v>0</v>
      </c>
      <c r="D855" s="30">
        <f ca="1">(D297+D483+'3. General Model Inputs'!$D$53*D669)*D$6</f>
        <v>0</v>
      </c>
      <c r="E855" s="30">
        <f ca="1">(E297+E483+'3. General Model Inputs'!$D$53*E669)*E$6</f>
        <v>0</v>
      </c>
      <c r="F855" s="30">
        <f ca="1">(F297+F483+'3. General Model Inputs'!$D$53*F669)*F$6</f>
        <v>0</v>
      </c>
      <c r="G855" s="30">
        <f ca="1">(G297+G483+'3. General Model Inputs'!$D$53*G669)*G$6</f>
        <v>8177.9750000000004</v>
      </c>
      <c r="H855" s="30">
        <f ca="1">(H297+H483+'3. General Model Inputs'!$D$53*H669)*H$6</f>
        <v>16280.985229166668</v>
      </c>
    </row>
    <row r="856" spans="2:8">
      <c r="B856" s="152">
        <f t="shared" si="210"/>
        <v>0</v>
      </c>
      <c r="D856" s="30">
        <f ca="1">(D298+D484+'3. General Model Inputs'!$D$53*D670)*D$6</f>
        <v>8040.866750000001</v>
      </c>
      <c r="E856" s="30">
        <f ca="1">(E298+E484+'3. General Model Inputs'!$D$53*E670)*E$6</f>
        <v>16145.390361770837</v>
      </c>
      <c r="F856" s="30">
        <f ca="1">(F298+F484+'3. General Model Inputs'!$D$53*F670)*F$6</f>
        <v>16268.533169614853</v>
      </c>
      <c r="G856" s="30">
        <f ca="1">(G298+G484+'3. General Model Inputs'!$D$53*G670)*G$6</f>
        <v>16387.742248874962</v>
      </c>
      <c r="H856" s="30">
        <f ca="1">(H298+H484+'3. General Model Inputs'!$D$53*H670)*H$6</f>
        <v>16502.743948867068</v>
      </c>
    </row>
    <row r="857" spans="2:8">
      <c r="B857" s="152">
        <f t="shared" si="210"/>
        <v>0</v>
      </c>
      <c r="D857" s="30">
        <f ca="1">(D299+D485+'3. General Model Inputs'!$D$53*D671)*D$6</f>
        <v>0</v>
      </c>
      <c r="E857" s="30">
        <f ca="1">(E299+E485+'3. General Model Inputs'!$D$53*E671)*E$6</f>
        <v>0</v>
      </c>
      <c r="F857" s="30">
        <f ca="1">(F299+F485+'3. General Model Inputs'!$D$53*F671)*F$6</f>
        <v>7679.9250000000002</v>
      </c>
      <c r="G857" s="30">
        <f ca="1">(G299+G485+'3. General Model Inputs'!$D$53*G671)*G$6</f>
        <v>15355.050046875</v>
      </c>
      <c r="H857" s="30">
        <f ca="1">(H299+H485+'3. General Model Inputs'!$D$53*H671)*H$6</f>
        <v>15335.364085276444</v>
      </c>
    </row>
    <row r="858" spans="2:8">
      <c r="B858" s="152">
        <f t="shared" si="210"/>
        <v>0</v>
      </c>
      <c r="D858" s="30">
        <f ca="1">(D300+D486+'3. General Model Inputs'!$D$53*D672)*D$6</f>
        <v>0</v>
      </c>
      <c r="E858" s="30">
        <f ca="1">(E300+E486+'3. General Model Inputs'!$D$53*E672)*E$6</f>
        <v>0</v>
      </c>
      <c r="F858" s="30">
        <f ca="1">(F300+F486+'3. General Model Inputs'!$D$53*F672)*F$6</f>
        <v>0</v>
      </c>
      <c r="G858" s="30">
        <f ca="1">(G300+G486+'3. General Model Inputs'!$D$53*G672)*G$6</f>
        <v>1388.3000000000002</v>
      </c>
      <c r="H858" s="30">
        <f ca="1">(H300+H486+'3. General Model Inputs'!$D$53*H672)*H$6</f>
        <v>2775.7323125000003</v>
      </c>
    </row>
    <row r="859" spans="2:8">
      <c r="B859" s="152">
        <f t="shared" si="210"/>
        <v>0</v>
      </c>
      <c r="D859" s="30">
        <f ca="1">(D301+D487+'3. General Model Inputs'!$D$53*D673)*D$6</f>
        <v>0</v>
      </c>
      <c r="E859" s="30">
        <f ca="1">(E301+E487+'3. General Model Inputs'!$D$53*E673)*E$6</f>
        <v>0</v>
      </c>
      <c r="F859" s="30">
        <f ca="1">(F301+F487+'3. General Model Inputs'!$D$53*F673)*F$6</f>
        <v>0</v>
      </c>
      <c r="G859" s="30">
        <f ca="1">(G301+G487+'3. General Model Inputs'!$D$53*G673)*G$6</f>
        <v>0</v>
      </c>
      <c r="H859" s="30">
        <f ca="1">(H301+H487+'3. General Model Inputs'!$D$53*H673)*H$6</f>
        <v>5715.0375000000004</v>
      </c>
    </row>
    <row r="860" spans="2:8">
      <c r="B860" s="152">
        <f t="shared" si="210"/>
        <v>0</v>
      </c>
      <c r="D860" s="30">
        <f ca="1">(D302+D488+'3. General Model Inputs'!$D$53*D674)*D$6</f>
        <v>442.2170000000001</v>
      </c>
      <c r="E860" s="30">
        <f ca="1">(E302+E488+'3. General Model Inputs'!$D$53*E674)*E$6</f>
        <v>884.15761437500032</v>
      </c>
      <c r="F860" s="30">
        <f ca="1">(F302+F488+'3. General Model Inputs'!$D$53*F674)*F$6</f>
        <v>883.02407897195542</v>
      </c>
      <c r="G860" s="30">
        <f ca="1">(G302+G488+'3. General Model Inputs'!$D$53*G674)*G$6</f>
        <v>881.28126828977383</v>
      </c>
      <c r="H860" s="30">
        <f ca="1">(H302+H488+'3. General Model Inputs'!$D$53*H674)*H$6</f>
        <v>878.89942702412577</v>
      </c>
    </row>
    <row r="861" spans="2:8">
      <c r="B861" s="152">
        <f t="shared" si="210"/>
        <v>0</v>
      </c>
      <c r="D861" s="30">
        <f ca="1">(D303+D489+'3. General Model Inputs'!$D$53*D675)*D$6</f>
        <v>0</v>
      </c>
      <c r="E861" s="30">
        <f ca="1">(E303+E489+'3. General Model Inputs'!$D$53*E675)*E$6</f>
        <v>6017.21875</v>
      </c>
      <c r="F861" s="30">
        <f ca="1">(F303+F489+'3. General Model Inputs'!$D$53*F675)*F$6</f>
        <v>12030.67673828125</v>
      </c>
      <c r="G861" s="30">
        <f ca="1">(G303+G489+'3. General Model Inputs'!$D$53*G675)*G$6</f>
        <v>12015.252793744992</v>
      </c>
      <c r="H861" s="30">
        <f ca="1">(H303+H489+'3. General Model Inputs'!$D$53*H675)*H$6</f>
        <v>11991.538479020497</v>
      </c>
    </row>
    <row r="862" spans="2:8">
      <c r="B862" s="152">
        <f t="shared" si="210"/>
        <v>0</v>
      </c>
      <c r="D862" s="30">
        <f ca="1">(D304+D490+'3. General Model Inputs'!$D$53*D676)*D$6</f>
        <v>0</v>
      </c>
      <c r="E862" s="30">
        <f ca="1">(E304+E490+'3. General Model Inputs'!$D$53*E676)*E$6</f>
        <v>0</v>
      </c>
      <c r="F862" s="30">
        <f ca="1">(F304+F490+'3. General Model Inputs'!$D$53*F676)*F$6</f>
        <v>0</v>
      </c>
      <c r="G862" s="30">
        <f ca="1">(G304+G490+'3. General Model Inputs'!$D$53*G676)*G$6</f>
        <v>0</v>
      </c>
      <c r="H862" s="30">
        <f ca="1">(H304+H490+'3. General Model Inputs'!$D$53*H676)*H$6</f>
        <v>5875.7750000000005</v>
      </c>
    </row>
    <row r="863" spans="2:8">
      <c r="B863" s="152">
        <f t="shared" si="210"/>
        <v>0</v>
      </c>
      <c r="D863" s="30">
        <f ca="1">(D305+D491+'3. General Model Inputs'!$D$53*D677)*D$6</f>
        <v>253.30037500000003</v>
      </c>
      <c r="E863" s="30">
        <f ca="1">(E305+E491+'3. General Model Inputs'!$D$53*E677)*E$6</f>
        <v>506.44243726562513</v>
      </c>
      <c r="F863" s="30">
        <f ca="1">(F305+F491+'3. General Model Inputs'!$D$53*F677)*F$6</f>
        <v>505.79315208964357</v>
      </c>
      <c r="G863" s="30">
        <f ca="1">(G305+G491+'3. General Model Inputs'!$D$53*G677)*G$6</f>
        <v>504.79487613157181</v>
      </c>
      <c r="H863" s="30">
        <f ca="1">(H305+H491+'3. General Model Inputs'!$D$53*H677)*H$6</f>
        <v>503.43056565554053</v>
      </c>
    </row>
    <row r="864" spans="2:8">
      <c r="B864" s="152">
        <f t="shared" si="210"/>
        <v>0</v>
      </c>
      <c r="D864" s="30">
        <f ca="1">(D306+D492+'3. General Model Inputs'!$D$53*D678)*D$6</f>
        <v>0</v>
      </c>
      <c r="E864" s="30">
        <f ca="1">(E306+E492+'3. General Model Inputs'!$D$53*E678)*E$6</f>
        <v>4652.4966249999998</v>
      </c>
      <c r="F864" s="30">
        <f ca="1">(F306+F492+'3. General Model Inputs'!$D$53*F678)*F$6</f>
        <v>9302.0854396093746</v>
      </c>
      <c r="G864" s="30">
        <f ca="1">(G306+G492+'3. General Model Inputs'!$D$53*G678)*G$6</f>
        <v>9290.1596890457713</v>
      </c>
      <c r="H864" s="30">
        <f ca="1">(H306+H492+'3. General Model Inputs'!$D$53*H678)*H$6</f>
        <v>9271.823847554233</v>
      </c>
    </row>
    <row r="865" spans="2:8">
      <c r="B865" s="152">
        <f t="shared" si="210"/>
        <v>0</v>
      </c>
      <c r="D865" s="30">
        <f ca="1">(D307+D493+'3. General Model Inputs'!$D$53*D679)*D$6</f>
        <v>0</v>
      </c>
      <c r="E865" s="30">
        <f ca="1">(E307+E493+'3. General Model Inputs'!$D$53*E679)*E$6</f>
        <v>0</v>
      </c>
      <c r="F865" s="30">
        <f ca="1">(F307+F493+'3. General Model Inputs'!$D$53*F679)*F$6</f>
        <v>584.4</v>
      </c>
      <c r="G865" s="30">
        <f ca="1">(G307+G493+'3. General Model Inputs'!$D$53*G679)*G$6</f>
        <v>1168.4347500000001</v>
      </c>
      <c r="H865" s="30">
        <f ca="1">(H307+H493+'3. General Model Inputs'!$D$53*H679)*H$6</f>
        <v>1166.9367567307693</v>
      </c>
    </row>
    <row r="866" spans="2:8">
      <c r="B866" s="152">
        <f t="shared" si="210"/>
        <v>0</v>
      </c>
      <c r="D866" s="30">
        <f ca="1">(D308+D494+'3. General Model Inputs'!$D$53*D680)*D$6</f>
        <v>4047.0553749999995</v>
      </c>
      <c r="E866" s="30">
        <f ca="1">(E308+E494+'3. General Model Inputs'!$D$53*E680)*E$6</f>
        <v>8091.5813403906232</v>
      </c>
      <c r="F866" s="30">
        <f ca="1">(F308+F494+'3. General Model Inputs'!$D$53*F680)*F$6</f>
        <v>8081.2075181593527</v>
      </c>
      <c r="G866" s="30">
        <f ca="1">(G308+G494+'3. General Model Inputs'!$D$53*G680)*G$6</f>
        <v>8065.257766478775</v>
      </c>
      <c r="H866" s="30">
        <f ca="1">(H308+H494+'3. General Model Inputs'!$D$53*H680)*H$6</f>
        <v>8043.4597725153189</v>
      </c>
    </row>
    <row r="867" spans="2:8">
      <c r="B867" s="152">
        <f t="shared" si="210"/>
        <v>0</v>
      </c>
      <c r="D867" s="30">
        <f ca="1">(D309+D495+'3. General Model Inputs'!$D$53*D681)*D$6</f>
        <v>0</v>
      </c>
      <c r="E867" s="30">
        <f ca="1">(E309+E495+'3. General Model Inputs'!$D$53*E681)*E$6</f>
        <v>0</v>
      </c>
      <c r="F867" s="30">
        <f ca="1">(F309+F495+'3. General Model Inputs'!$D$53*F681)*F$6</f>
        <v>0</v>
      </c>
      <c r="G867" s="30">
        <f ca="1">(G309+G495+'3. General Model Inputs'!$D$53*G681)*G$6</f>
        <v>0</v>
      </c>
      <c r="H867" s="30">
        <f ca="1">(H309+H495+'3. General Model Inputs'!$D$53*H681)*H$6</f>
        <v>3839.7875000000004</v>
      </c>
    </row>
    <row r="868" spans="2:8">
      <c r="B868" s="152">
        <f t="shared" si="210"/>
        <v>0</v>
      </c>
      <c r="D868" s="30">
        <f ca="1">(D310+D496+'3. General Model Inputs'!$D$53*D682)*D$6</f>
        <v>0</v>
      </c>
      <c r="E868" s="30">
        <f ca="1">(E310+E496+'3. General Model Inputs'!$D$53*E682)*E$6</f>
        <v>0</v>
      </c>
      <c r="F868" s="30">
        <f ca="1">(F310+F496+'3. General Model Inputs'!$D$53*F682)*F$6</f>
        <v>0</v>
      </c>
      <c r="G868" s="30">
        <f ca="1">(G310+G496+'3. General Model Inputs'!$D$53*G682)*G$6</f>
        <v>0</v>
      </c>
      <c r="H868" s="30">
        <f ca="1">(H310+H496+'3. General Model Inputs'!$D$53*H682)*H$6</f>
        <v>3839.7875000000004</v>
      </c>
    </row>
    <row r="869" spans="2:8">
      <c r="B869" s="152">
        <f t="shared" si="210"/>
        <v>0</v>
      </c>
      <c r="D869" s="30">
        <f ca="1">(D311+D497+'3. General Model Inputs'!$D$53*D683)*D$6</f>
        <v>82.358875000000012</v>
      </c>
      <c r="E869" s="30">
        <f ca="1">(E311+E497+'3. General Model Inputs'!$D$53*E683)*E$6</f>
        <v>165.93254340625003</v>
      </c>
      <c r="F869" s="30">
        <f ca="1">(F311+F497+'3. General Model Inputs'!$D$53*F683)*F$6</f>
        <v>168.36286853694764</v>
      </c>
      <c r="G869" s="30">
        <f ca="1">(G311+G497+'3. General Model Inputs'!$D$53*G683)*G$6</f>
        <v>170.81100208455123</v>
      </c>
      <c r="H869" s="30">
        <f ca="1">(H311+H497+'3. General Model Inputs'!$D$53*H683)*H$6</f>
        <v>173.27631551669941</v>
      </c>
    </row>
    <row r="870" spans="2:8">
      <c r="B870" s="152">
        <f t="shared" si="210"/>
        <v>0</v>
      </c>
      <c r="D870" s="30">
        <f ca="1">(D312+D498+'3. General Model Inputs'!$D$53*D684)*D$6</f>
        <v>0</v>
      </c>
      <c r="E870" s="30">
        <f ca="1">(E312+E498+'3. General Model Inputs'!$D$53*E684)*E$6</f>
        <v>1879.4</v>
      </c>
      <c r="F870" s="30">
        <f ca="1">(F312+F498+'3. General Model Inputs'!$D$53*F684)*F$6</f>
        <v>3786.52115</v>
      </c>
      <c r="G870" s="30">
        <f ca="1">(G312+G498+'3. General Model Inputs'!$D$53*G684)*G$6</f>
        <v>3841.9802981565649</v>
      </c>
      <c r="H870" s="30">
        <f ca="1">(H312+H498+'3. General Model Inputs'!$D$53*H684)*H$6</f>
        <v>3897.8458280022091</v>
      </c>
    </row>
    <row r="871" spans="2:8">
      <c r="B871" s="152">
        <f t="shared" si="210"/>
        <v>0</v>
      </c>
      <c r="D871" s="30">
        <f ca="1">(D313+D499+'3. General Model Inputs'!$D$53*D685)*D$6</f>
        <v>0</v>
      </c>
      <c r="E871" s="30">
        <f ca="1">(E313+E499+'3. General Model Inputs'!$D$53*E685)*E$6</f>
        <v>0</v>
      </c>
      <c r="F871" s="30">
        <f ca="1">(F313+F499+'3. General Model Inputs'!$D$53*F685)*F$6</f>
        <v>0</v>
      </c>
      <c r="G871" s="30">
        <f ca="1">(G313+G499+'3. General Model Inputs'!$D$53*G685)*G$6</f>
        <v>0</v>
      </c>
      <c r="H871" s="30">
        <f ca="1">(H313+H499+'3. General Model Inputs'!$D$53*H685)*H$6</f>
        <v>1785.95</v>
      </c>
    </row>
    <row r="872" spans="2:8">
      <c r="B872" s="152">
        <f t="shared" si="210"/>
        <v>0</v>
      </c>
      <c r="D872" s="30">
        <f ca="1">(D314+D500+'3. General Model Inputs'!$D$53*D686)*D$6</f>
        <v>1779.9901250000003</v>
      </c>
      <c r="E872" s="30">
        <f ca="1">(E314+E500+'3. General Model Inputs'!$D$53*E686)*E$6</f>
        <v>3422.031015312501</v>
      </c>
      <c r="F872" s="30">
        <f ca="1">(F314+F500+'3. General Model Inputs'!$D$53*F686)*F$6</f>
        <v>3117.8504806180563</v>
      </c>
      <c r="G872" s="30">
        <f ca="1">(G314+G500+'3. General Model Inputs'!$D$53*G686)*G$6</f>
        <v>2796.322149804319</v>
      </c>
      <c r="H872" s="30">
        <f ca="1">(H314+H500+'3. General Model Inputs'!$D$53*H686)*H$6</f>
        <v>2456.7687458995088</v>
      </c>
    </row>
    <row r="873" spans="2:8">
      <c r="B873" s="152">
        <f t="shared" si="210"/>
        <v>0</v>
      </c>
      <c r="D873" s="30">
        <f ca="1">(D315+D501+'3. General Model Inputs'!$D$53*D687)*D$6</f>
        <v>310.109375</v>
      </c>
      <c r="E873" s="30">
        <f ca="1">(E315+E501+'3. General Model Inputs'!$D$53*E687)*E$6</f>
        <v>564.39906250000001</v>
      </c>
      <c r="F873" s="30">
        <f ca="1">(F315+F501+'3. General Model Inputs'!$D$53*F687)*F$6</f>
        <v>433.88177929687504</v>
      </c>
      <c r="G873" s="30">
        <f ca="1">(G315+G501+'3. General Model Inputs'!$D$53*G687)*G$6</f>
        <v>296.48588251953123</v>
      </c>
      <c r="H873" s="30">
        <f ca="1">(H315+H501+'3. General Model Inputs'!$D$53*H687)*H$6</f>
        <v>151.94901479125977</v>
      </c>
    </row>
    <row r="874" spans="2:8">
      <c r="B874" s="152">
        <f t="shared" si="210"/>
        <v>0</v>
      </c>
      <c r="D874" s="30">
        <f ca="1">(D316+D502+'3. General Model Inputs'!$D$53*D688)*D$6</f>
        <v>0</v>
      </c>
      <c r="E874" s="30">
        <f ca="1">(E316+E502+'3. General Model Inputs'!$D$53*E688)*E$6</f>
        <v>2687.5</v>
      </c>
      <c r="F874" s="30">
        <f ca="1">(F316+F502+'3. General Model Inputs'!$D$53*F688)*F$6</f>
        <v>5258.541666666667</v>
      </c>
      <c r="G874" s="30">
        <f ca="1">(G316+G502+'3. General Model Inputs'!$D$53*G688)*G$6</f>
        <v>5005.0048363095239</v>
      </c>
      <c r="H874" s="30">
        <f ca="1">(H316+H502+'3. General Model Inputs'!$D$53*H688)*H$6</f>
        <v>4735.5045758928572</v>
      </c>
    </row>
    <row r="875" spans="2:8">
      <c r="B875" s="152">
        <f t="shared" si="210"/>
        <v>0</v>
      </c>
      <c r="D875" s="30">
        <f ca="1">(D317+D503+'3. General Model Inputs'!$D$53*D689)*D$6</f>
        <v>7187.5414999999994</v>
      </c>
      <c r="E875" s="30">
        <f ca="1">(E317+E503+'3. General Model Inputs'!$D$53*E689)*E$6</f>
        <v>13081.32553</v>
      </c>
      <c r="F875" s="30">
        <f ca="1">(F317+F503+'3. General Model Inputs'!$D$53*F689)*F$6</f>
        <v>10056.269001187502</v>
      </c>
      <c r="G875" s="30">
        <f ca="1">(G317+G503+'3. General Model Inputs'!$D$53*G689)*G$6</f>
        <v>6871.7838174781273</v>
      </c>
      <c r="H875" s="30">
        <f ca="1">(H317+H503+'3. General Model Inputs'!$D$53*H689)*H$6</f>
        <v>3521.7892064575399</v>
      </c>
    </row>
    <row r="876" spans="2:8">
      <c r="B876" s="152">
        <f t="shared" si="210"/>
        <v>0</v>
      </c>
      <c r="D876" s="30">
        <f ca="1">(D318+D504+'3. General Model Inputs'!$D$53*D690)*D$6</f>
        <v>0</v>
      </c>
      <c r="E876" s="30">
        <f ca="1">(E318+E504+'3. General Model Inputs'!$D$53*E690)*E$6</f>
        <v>5243.7500000000009</v>
      </c>
      <c r="F876" s="30">
        <f ca="1">(F318+F504+'3. General Model Inputs'!$D$53*F690)*F$6</f>
        <v>9543.6250000000018</v>
      </c>
      <c r="G876" s="30">
        <f ca="1">(G318+G504+'3. General Model Inputs'!$D$53*G690)*G$6</f>
        <v>7336.6617187500015</v>
      </c>
      <c r="H876" s="30">
        <f ca="1">(H318+H504+'3. General Model Inputs'!$D$53*H690)*H$6</f>
        <v>5013.3855078125016</v>
      </c>
    </row>
    <row r="877" spans="2:8">
      <c r="B877" s="152">
        <f t="shared" si="210"/>
        <v>0</v>
      </c>
      <c r="D877" s="30">
        <f ca="1">(D319+D505+'3. General Model Inputs'!$D$53*D691)*D$6</f>
        <v>0</v>
      </c>
      <c r="E877" s="30">
        <f ca="1">(E319+E505+'3. General Model Inputs'!$D$53*E691)*E$6</f>
        <v>0</v>
      </c>
      <c r="F877" s="30">
        <f ca="1">(F319+F505+'3. General Model Inputs'!$D$53*F691)*F$6</f>
        <v>5625</v>
      </c>
      <c r="G877" s="30">
        <f ca="1">(G319+G505+'3. General Model Inputs'!$D$53*G691)*G$6</f>
        <v>10237.5</v>
      </c>
      <c r="H877" s="30">
        <f ca="1">(H319+H505+'3. General Model Inputs'!$D$53*H691)*H$6</f>
        <v>7870.078125</v>
      </c>
    </row>
    <row r="878" spans="2:8">
      <c r="B878" s="152">
        <f t="shared" si="210"/>
        <v>0</v>
      </c>
      <c r="D878" s="30">
        <f ca="1">(D320+D506+'3. General Model Inputs'!$D$53*D692)*D$6</f>
        <v>0</v>
      </c>
      <c r="E878" s="30">
        <f ca="1">(E320+E506+'3. General Model Inputs'!$D$53*E692)*E$6</f>
        <v>0</v>
      </c>
      <c r="F878" s="30">
        <f ca="1">(F320+F506+'3. General Model Inputs'!$D$53*F692)*F$6</f>
        <v>0</v>
      </c>
      <c r="G878" s="30">
        <f ca="1">(G320+G506+'3. General Model Inputs'!$D$53*G692)*G$6</f>
        <v>5625</v>
      </c>
      <c r="H878" s="30">
        <f ca="1">(H320+H506+'3. General Model Inputs'!$D$53*H692)*H$6</f>
        <v>10237.5</v>
      </c>
    </row>
    <row r="879" spans="2:8">
      <c r="B879" s="152">
        <f t="shared" si="210"/>
        <v>0</v>
      </c>
      <c r="D879" s="30">
        <f ca="1">(D321+D507+'3. General Model Inputs'!$D$53*D693)*D$6</f>
        <v>0</v>
      </c>
      <c r="E879" s="30">
        <f ca="1">(E321+E507+'3. General Model Inputs'!$D$53*E693)*E$6</f>
        <v>0</v>
      </c>
      <c r="F879" s="30">
        <f ca="1">(F321+F507+'3. General Model Inputs'!$D$53*F693)*F$6</f>
        <v>0</v>
      </c>
      <c r="G879" s="30">
        <f ca="1">(G321+G507+'3. General Model Inputs'!$D$53*G693)*G$6</f>
        <v>0</v>
      </c>
      <c r="H879" s="30">
        <f ca="1">(H321+H507+'3. General Model Inputs'!$D$53*H693)*H$6</f>
        <v>5625</v>
      </c>
    </row>
    <row r="880" spans="2:8">
      <c r="B880" s="152">
        <f t="shared" si="210"/>
        <v>0</v>
      </c>
      <c r="D880" s="30">
        <f ca="1">(D322+D508+'3. General Model Inputs'!$D$53*D694)*D$6</f>
        <v>6187.6587500000005</v>
      </c>
      <c r="E880" s="30">
        <f ca="1">(E322+E508+'3. General Model Inputs'!$D$53*E694)*E$6</f>
        <v>11261.538925000001</v>
      </c>
      <c r="F880" s="30">
        <f ca="1">(F322+F508+'3. General Model Inputs'!$D$53*F694)*F$6</f>
        <v>8657.3080485937517</v>
      </c>
      <c r="G880" s="30">
        <f ca="1">(G322+G508+'3. General Model Inputs'!$D$53*G694)*G$6</f>
        <v>5915.827166539063</v>
      </c>
      <c r="H880" s="30">
        <f ca="1">(H322+H508+'3. General Model Inputs'!$D$53*H694)*H$6</f>
        <v>3031.8614228512697</v>
      </c>
    </row>
    <row r="881" spans="2:8">
      <c r="B881" s="152">
        <f t="shared" si="210"/>
        <v>0</v>
      </c>
      <c r="D881" s="30">
        <f ca="1">(D323+D509+'3. General Model Inputs'!$D$53*D695)*D$6</f>
        <v>9617.8058750000037</v>
      </c>
      <c r="E881" s="30">
        <f ca="1">(E323+E509+'3. General Model Inputs'!$D$53*E695)*E$6</f>
        <v>18983.144345781253</v>
      </c>
      <c r="F881" s="30">
        <f ca="1">(F323+F509+'3. General Model Inputs'!$D$53*F695)*F$6</f>
        <v>18433.632272613904</v>
      </c>
      <c r="G881" s="30">
        <f ca="1">(G323+G509+'3. General Model Inputs'!$D$53*G695)*G$6</f>
        <v>17844.780130572075</v>
      </c>
      <c r="H881" s="30">
        <f ca="1">(H323+H509+'3. General Model Inputs'!$D$53*H695)*H$6</f>
        <v>17214.964361257764</v>
      </c>
    </row>
    <row r="882" spans="2:8">
      <c r="B882" s="152">
        <f t="shared" si="210"/>
        <v>0</v>
      </c>
      <c r="D882" s="30">
        <f ca="1">(D324+D510+'3. General Model Inputs'!$D$53*D696)*D$6</f>
        <v>0</v>
      </c>
      <c r="E882" s="30">
        <f ca="1">(E324+E510+'3. General Model Inputs'!$D$53*E696)*E$6</f>
        <v>6112.49575</v>
      </c>
      <c r="F882" s="30">
        <f ca="1">(F324+F510+'3. General Model Inputs'!$D$53*F696)*F$6</f>
        <v>12064.5384865625</v>
      </c>
      <c r="G882" s="30">
        <f ca="1">(G324+G510+'3. General Model Inputs'!$D$53*G696)*G$6</f>
        <v>11715.301846162007</v>
      </c>
      <c r="H882" s="30">
        <f ca="1">(H324+H510+'3. General Model Inputs'!$D$53*H696)*H$6</f>
        <v>11341.063037187387</v>
      </c>
    </row>
    <row r="883" spans="2:8">
      <c r="B883" s="152">
        <f t="shared" si="210"/>
        <v>0</v>
      </c>
      <c r="D883" s="30">
        <f ca="1">(D325+D511+'3. General Model Inputs'!$D$53*D697)*D$6</f>
        <v>-39.362375000000014</v>
      </c>
      <c r="E883" s="30">
        <f ca="1">(E325+E511+'3. General Model Inputs'!$D$53*E697)*E$6</f>
        <v>-78.363928229166689</v>
      </c>
      <c r="F883" s="30">
        <f ca="1">(F325+F511+'3. General Model Inputs'!$D$53*F697)*F$6</f>
        <v>-77.553266902658066</v>
      </c>
      <c r="G883" s="30">
        <f ca="1">(G325+G511+'3. General Model Inputs'!$D$53*G697)*G$6</f>
        <v>-76.653095054680776</v>
      </c>
      <c r="H883" s="30">
        <f ca="1">(H325+H511+'3. General Model Inputs'!$D$53*H697)*H$6</f>
        <v>-75.659443822490474</v>
      </c>
    </row>
    <row r="884" spans="2:8">
      <c r="B884" s="152">
        <f t="shared" si="210"/>
        <v>0</v>
      </c>
      <c r="D884" s="30">
        <f ca="1">(D326+D512+'3. General Model Inputs'!$D$53*D698)*D$6</f>
        <v>3251.9157500000001</v>
      </c>
      <c r="E884" s="30">
        <f ca="1">(E326+E512+'3. General Model Inputs'!$D$53*E698)*E$6</f>
        <v>6418.4687115625011</v>
      </c>
      <c r="F884" s="30">
        <f ca="1">(F326+F512+'3. General Model Inputs'!$D$53*F698)*F$6</f>
        <v>6232.6709330699014</v>
      </c>
      <c r="G884" s="30">
        <f ca="1">(G326+G512+'3. General Model Inputs'!$D$53*G698)*G$6</f>
        <v>6033.5717227079467</v>
      </c>
      <c r="H884" s="30">
        <f ca="1">(H326+H512+'3. General Model Inputs'!$D$53*H698)*H$6</f>
        <v>5820.6221324947255</v>
      </c>
    </row>
    <row r="885" spans="2:8">
      <c r="B885" s="152">
        <f t="shared" si="210"/>
        <v>0</v>
      </c>
      <c r="D885" s="30">
        <f ca="1">(D327+D513+'3. General Model Inputs'!$D$53*D699)*D$6</f>
        <v>118.459125</v>
      </c>
      <c r="E885" s="30">
        <f ca="1">(E327+E513+'3. General Model Inputs'!$D$53*E699)*E$6</f>
        <v>236.84421304687498</v>
      </c>
      <c r="F885" s="30">
        <f ca="1">(F327+F513+'3. General Model Inputs'!$D$53*F699)*F$6</f>
        <v>236.54056661989185</v>
      </c>
      <c r="G885" s="30">
        <f ca="1">(G327+G513+'3. General Model Inputs'!$D$53*G699)*G$6</f>
        <v>236.0737102384052</v>
      </c>
      <c r="H885" s="30">
        <f ca="1">(H327+H513+'3. General Model Inputs'!$D$53*H699)*H$6</f>
        <v>235.4356731837068</v>
      </c>
    </row>
    <row r="886" spans="2:8">
      <c r="B886" s="152">
        <f t="shared" si="210"/>
        <v>0</v>
      </c>
      <c r="D886" s="30">
        <f ca="1">(D328+D514+'3. General Model Inputs'!$D$53*D700)*D$6</f>
        <v>635.45300000000009</v>
      </c>
      <c r="E886" s="30">
        <f ca="1">(E328+E514+'3. General Model Inputs'!$D$53*E700)*E$6</f>
        <v>1265.081014166667</v>
      </c>
      <c r="F886" s="30">
        <f ca="1">(F328+F514+'3. General Model Inputs'!$D$53*F700)*F$6</f>
        <v>1251.993969192529</v>
      </c>
      <c r="G886" s="30">
        <f ca="1">(G328+G514+'3. General Model Inputs'!$D$53*G700)*G$6</f>
        <v>1237.46189633583</v>
      </c>
      <c r="H886" s="30">
        <f ca="1">(H328+H514+'3. General Model Inputs'!$D$53*H700)*H$6</f>
        <v>1221.4207236055506</v>
      </c>
    </row>
    <row r="887" spans="2:8">
      <c r="B887" s="152">
        <f t="shared" si="210"/>
        <v>0</v>
      </c>
      <c r="D887" s="30">
        <f ca="1">(D329+D515+'3. General Model Inputs'!$D$53*D701)*D$6</f>
        <v>-626.70637500000009</v>
      </c>
      <c r="E887" s="30">
        <f ca="1">(E329+E515+'3. General Model Inputs'!$D$53*E701)*E$6</f>
        <v>-1262.6566690312502</v>
      </c>
      <c r="F887" s="30">
        <f ca="1">(F329+F515+'3. General Model Inputs'!$D$53*F701)*F$6</f>
        <v>-1281.1501252948392</v>
      </c>
      <c r="G887" s="30">
        <f ca="1">(G329+G515+'3. General Model Inputs'!$D$53*G701)*G$6</f>
        <v>-1299.7790939534632</v>
      </c>
      <c r="H887" s="30">
        <f ca="1">(H329+H515+'3. General Model Inputs'!$D$53*H701)*H$6</f>
        <v>-1318.538792216709</v>
      </c>
    </row>
    <row r="888" spans="2:8">
      <c r="B888" s="152">
        <f t="shared" si="210"/>
        <v>0</v>
      </c>
      <c r="D888" s="30">
        <f ca="1">(D330+D516+'3. General Model Inputs'!$D$53*D702)*D$6</f>
        <v>0</v>
      </c>
      <c r="E888" s="30">
        <f ca="1">(E330+E516+'3. General Model Inputs'!$D$53*E702)*E$6</f>
        <v>5118.4875000000002</v>
      </c>
      <c r="F888" s="30">
        <f ca="1">(F330+F516+'3. General Model Inputs'!$D$53*F702)*F$6</f>
        <v>10312.472690625</v>
      </c>
      <c r="G888" s="30">
        <f ca="1">(G330+G516+'3. General Model Inputs'!$D$53*G702)*G$6</f>
        <v>10463.513957305871</v>
      </c>
      <c r="H888" s="30">
        <f ca="1">(H330+H516+'3. General Model Inputs'!$D$53*H702)*H$6</f>
        <v>10615.661991889145</v>
      </c>
    </row>
    <row r="889" spans="2:8">
      <c r="B889" s="152">
        <f t="shared" si="210"/>
        <v>0</v>
      </c>
      <c r="D889" s="30">
        <f ca="1">(D331+D517+'3. General Model Inputs'!$D$53*D703)*D$6</f>
        <v>39.678249999999998</v>
      </c>
      <c r="E889" s="30">
        <f ca="1">(E331+E517+'3. General Model Inputs'!$D$53*E703)*E$6</f>
        <v>79.840078671875006</v>
      </c>
      <c r="F889" s="30">
        <f ca="1">(F331+F517+'3. General Model Inputs'!$D$53*F703)*F$6</f>
        <v>80.800180883751977</v>
      </c>
      <c r="G889" s="30">
        <f ca="1">(G331+G517+'3. General Model Inputs'!$D$53*G703)*G$6</f>
        <v>81.758388157052877</v>
      </c>
      <c r="H889" s="30">
        <f ca="1">(H331+H517+'3. General Model Inputs'!$D$53*H703)*H$6</f>
        <v>82.71400568096648</v>
      </c>
    </row>
    <row r="890" spans="2:8">
      <c r="B890" s="152">
        <f t="shared" si="210"/>
        <v>0</v>
      </c>
      <c r="D890" s="30">
        <f ca="1">(D332+D518+'3. General Model Inputs'!$D$53*D704)*D$6</f>
        <v>2002.4660000000001</v>
      </c>
      <c r="E890" s="30">
        <f ca="1">(E332+E518+'3. General Model Inputs'!$D$53*E704)*E$6</f>
        <v>3849.7408850000002</v>
      </c>
      <c r="F890" s="30">
        <f ca="1">(F332+F518+'3. General Model Inputs'!$D$53*F704)*F$6</f>
        <v>3507.5416952222222</v>
      </c>
      <c r="G890" s="30">
        <f ca="1">(G332+G518+'3. General Model Inputs'!$D$53*G704)*G$6</f>
        <v>3145.8264579024308</v>
      </c>
      <c r="H890" s="30">
        <f ca="1">(H332+H518+'3. General Model Inputs'!$D$53*H704)*H$6</f>
        <v>2763.8332451571355</v>
      </c>
    </row>
    <row r="891" spans="2:8">
      <c r="B891" s="152">
        <f t="shared" si="210"/>
        <v>0</v>
      </c>
      <c r="D891" s="30">
        <f ca="1">(D333+D519+'3. General Model Inputs'!$D$53*D705)*D$6</f>
        <v>0</v>
      </c>
      <c r="E891" s="30">
        <f ca="1">(E333+E519+'3. General Model Inputs'!$D$53*E705)*E$6</f>
        <v>835.29874999999993</v>
      </c>
      <c r="F891" s="30">
        <f ca="1">(F333+F519+'3. General Model Inputs'!$D$53*F705)*F$6</f>
        <v>1605.8618468750001</v>
      </c>
      <c r="G891" s="30">
        <f ca="1">(G333+G519+'3. General Model Inputs'!$D$53*G705)*G$6</f>
        <v>1463.1185715972224</v>
      </c>
      <c r="H891" s="30">
        <f ca="1">(H333+H519+'3. General Model Inputs'!$D$53*H705)*H$6</f>
        <v>1312.2344689012589</v>
      </c>
    </row>
    <row r="892" spans="2:8">
      <c r="B892" s="152">
        <f t="shared" si="210"/>
        <v>0</v>
      </c>
      <c r="D892" s="30">
        <f ca="1">(D334+D520+'3. General Model Inputs'!$D$53*D706)*D$6</f>
        <v>3274.5087500000004</v>
      </c>
      <c r="E892" s="30">
        <f ca="1">(E334+E520+'3. General Model Inputs'!$D$53*E706)*E$6</f>
        <v>6546.9709320312504</v>
      </c>
      <c r="F892" s="30">
        <f ca="1">(F334+F520+'3. General Model Inputs'!$D$53*F706)*F$6</f>
        <v>6538.5773795542882</v>
      </c>
      <c r="G892" s="30">
        <f ca="1">(G334+G520+'3. General Model Inputs'!$D$53*G706)*G$6</f>
        <v>6525.6722926209568</v>
      </c>
      <c r="H892" s="30">
        <f ca="1">(H334+H520+'3. General Model Inputs'!$D$53*H706)*H$6</f>
        <v>6508.0353404787375</v>
      </c>
    </row>
    <row r="893" spans="2:8">
      <c r="B893" s="152">
        <f t="shared" si="210"/>
        <v>0</v>
      </c>
      <c r="D893" s="30">
        <f ca="1">(D335+D521+'3. General Model Inputs'!$D$53*D707)*D$6</f>
        <v>0</v>
      </c>
      <c r="E893" s="30">
        <f ca="1">(E335+E521+'3. General Model Inputs'!$D$53*E707)*E$6</f>
        <v>-165.97637500000016</v>
      </c>
      <c r="F893" s="30">
        <f ca="1">(F335+F521+'3. General Model Inputs'!$D$53*F707)*F$6</f>
        <v>-331.84901476562527</v>
      </c>
      <c r="G893" s="30">
        <f ca="1">(G335+G521+'3. General Model Inputs'!$D$53*G707)*G$6</f>
        <v>-331.42356731079758</v>
      </c>
      <c r="H893" s="30">
        <f ca="1">(H335+H521+'3. General Model Inputs'!$D$53*H707)*H$6</f>
        <v>-330.76944184899992</v>
      </c>
    </row>
    <row r="894" spans="2:8">
      <c r="B894" s="152">
        <f t="shared" si="210"/>
        <v>0</v>
      </c>
      <c r="D894" s="30">
        <f ca="1">(D336+D522+'3. General Model Inputs'!$D$53*D708)*D$6</f>
        <v>-6.6450000000000005</v>
      </c>
      <c r="E894" s="30">
        <f ca="1">(E336+E522+'3. General Model Inputs'!$D$53*E708)*E$6</f>
        <v>-13.2290875</v>
      </c>
      <c r="F894" s="30">
        <f ca="1">(F336+F522+'3. General Model Inputs'!$D$53*F708)*F$6</f>
        <v>-13.092234870689655</v>
      </c>
      <c r="G894" s="30">
        <f ca="1">(G336+G522+'3. General Model Inputs'!$D$53*G708)*G$6</f>
        <v>-12.940271430226293</v>
      </c>
      <c r="H894" s="30">
        <f ca="1">(H336+H522+'3. General Model Inputs'!$D$53*H708)*H$6</f>
        <v>-12.772527170945581</v>
      </c>
    </row>
    <row r="895" spans="2:8">
      <c r="B895" s="152">
        <f t="shared" si="210"/>
        <v>0</v>
      </c>
      <c r="D895" s="30">
        <f ca="1">(D337+D523+'3. General Model Inputs'!$D$53*D709)*D$6</f>
        <v>243.06887499999999</v>
      </c>
      <c r="E895" s="30">
        <f ca="1">(E337+E523+'3. General Model Inputs'!$D$53*E709)*E$6</f>
        <v>483.90961864583335</v>
      </c>
      <c r="F895" s="30">
        <f ca="1">(F337+F523+'3. General Model Inputs'!$D$53*F709)*F$6</f>
        <v>478.90365707363509</v>
      </c>
      <c r="G895" s="30">
        <f ca="1">(G337+G523+'3. General Model Inputs'!$D$53*G709)*G$6</f>
        <v>473.34495391117326</v>
      </c>
      <c r="H895" s="30">
        <f ca="1">(H337+H523+'3. General Model Inputs'!$D$53*H709)*H$6</f>
        <v>467.20900080491731</v>
      </c>
    </row>
    <row r="896" spans="2:8">
      <c r="B896" s="152">
        <f t="shared" si="210"/>
        <v>0</v>
      </c>
      <c r="D896" s="30">
        <f ca="1">(D338+D524+'3. General Model Inputs'!$D$53*D710)*D$6</f>
        <v>48.112500000000004</v>
      </c>
      <c r="E896" s="30">
        <f ca="1">(E338+E524+'3. General Model Inputs'!$D$53*E710)*E$6</f>
        <v>95.78396875</v>
      </c>
      <c r="F896" s="30">
        <f ca="1">(F338+F524+'3. General Model Inputs'!$D$53*F710)*F$6</f>
        <v>94.793100107758619</v>
      </c>
      <c r="G896" s="30">
        <f ca="1">(G338+G524+'3. General Model Inputs'!$D$53*G710)*G$6</f>
        <v>93.692823052936433</v>
      </c>
      <c r="H896" s="30">
        <f ca="1">(H338+H524+'3. General Model Inputs'!$D$53*H710)*H$6</f>
        <v>92.47828645780578</v>
      </c>
    </row>
    <row r="897" spans="2:8">
      <c r="B897" s="152">
        <f t="shared" si="210"/>
        <v>0</v>
      </c>
      <c r="D897" s="30">
        <f ca="1">(D339+D525+'3. General Model Inputs'!$D$53*D711)*D$6</f>
        <v>0</v>
      </c>
      <c r="E897" s="30">
        <f ca="1">(E339+E525+'3. General Model Inputs'!$D$53*E711)*E$6</f>
        <v>14.004125</v>
      </c>
      <c r="F897" s="30">
        <f ca="1">(F339+F525+'3. General Model Inputs'!$D$53*F711)*F$6</f>
        <v>27.879878854166662</v>
      </c>
      <c r="G897" s="30">
        <f ca="1">(G339+G525+'3. General Model Inputs'!$D$53*G711)*G$6</f>
        <v>27.591466314295975</v>
      </c>
      <c r="H897" s="30">
        <f ca="1">(H339+H525+'3. General Model Inputs'!$D$53*H711)*H$6</f>
        <v>27.271208223147898</v>
      </c>
    </row>
    <row r="898" spans="2:8">
      <c r="B898" s="152">
        <f t="shared" si="210"/>
        <v>0</v>
      </c>
      <c r="D898" s="30">
        <f ca="1">(D340+D526+'3. General Model Inputs'!$D$53*D712)*D$6</f>
        <v>0</v>
      </c>
      <c r="E898" s="30">
        <f ca="1">(E340+E526+'3. General Model Inputs'!$D$53*E712)*E$6</f>
        <v>0</v>
      </c>
      <c r="F898" s="30">
        <f ca="1">(F340+F526+'3. General Model Inputs'!$D$53*F712)*F$6</f>
        <v>62.5</v>
      </c>
      <c r="G898" s="30">
        <f ca="1">(G340+G526+'3. General Model Inputs'!$D$53*G712)*G$6</f>
        <v>124.42708333333333</v>
      </c>
      <c r="H898" s="30">
        <f ca="1">(H340+H526+'3. General Model Inputs'!$D$53*H712)*H$6</f>
        <v>123.13990660919541</v>
      </c>
    </row>
    <row r="899" spans="2:8">
      <c r="B899" s="152">
        <f t="shared" si="210"/>
        <v>0</v>
      </c>
      <c r="D899" s="30">
        <f ca="1">(D341+D527+'3. General Model Inputs'!$D$53*D713)*D$6</f>
        <v>0</v>
      </c>
      <c r="E899" s="30">
        <f ca="1">(E341+E527+'3. General Model Inputs'!$D$53*E713)*E$6</f>
        <v>0</v>
      </c>
      <c r="F899" s="30">
        <f ca="1">(F341+F527+'3. General Model Inputs'!$D$53*F713)*F$6</f>
        <v>0</v>
      </c>
      <c r="G899" s="30">
        <f ca="1">(G341+G527+'3. General Model Inputs'!$D$53*G713)*G$6</f>
        <v>62.5</v>
      </c>
      <c r="H899" s="30">
        <f ca="1">(H341+H527+'3. General Model Inputs'!$D$53*H713)*H$6</f>
        <v>124.42708333333333</v>
      </c>
    </row>
    <row r="900" spans="2:8">
      <c r="B900" s="152">
        <f t="shared" si="210"/>
        <v>0</v>
      </c>
      <c r="D900" s="30">
        <f ca="1">(D342+D528+'3. General Model Inputs'!$D$53*D714)*D$6</f>
        <v>0</v>
      </c>
      <c r="E900" s="30">
        <f ca="1">(E342+E528+'3. General Model Inputs'!$D$53*E714)*E$6</f>
        <v>0</v>
      </c>
      <c r="F900" s="30">
        <f ca="1">(F342+F528+'3. General Model Inputs'!$D$53*F714)*F$6</f>
        <v>0</v>
      </c>
      <c r="G900" s="30">
        <f ca="1">(G342+G528+'3. General Model Inputs'!$D$53*G714)*G$6</f>
        <v>0</v>
      </c>
      <c r="H900" s="30">
        <f ca="1">(H342+H528+'3. General Model Inputs'!$D$53*H714)*H$6</f>
        <v>62.5</v>
      </c>
    </row>
    <row r="901" spans="2:8">
      <c r="B901" s="152">
        <f t="shared" si="210"/>
        <v>0</v>
      </c>
      <c r="D901" s="30">
        <f ca="1">(D343+D529+'3. General Model Inputs'!$D$53*D715)*D$6</f>
        <v>4024.3712500000001</v>
      </c>
      <c r="E901" s="30">
        <f ca="1">(E343+E529+'3. General Model Inputs'!$D$53*E715)*E$6</f>
        <v>8046.2272679687512</v>
      </c>
      <c r="F901" s="30">
        <f ca="1">(F343+F529+'3. General Model Inputs'!$D$53*F715)*F$6</f>
        <v>8035.9115919841761</v>
      </c>
      <c r="G901" s="30">
        <f ca="1">(G343+G529+'3. General Model Inputs'!$D$53*G715)*G$6</f>
        <v>8020.0512401578908</v>
      </c>
      <c r="H901" s="30">
        <f ca="1">(H343+H529+'3. General Model Inputs'!$D$53*H715)*H$6</f>
        <v>7998.375425995303</v>
      </c>
    </row>
    <row r="902" spans="2:8">
      <c r="B902" s="152">
        <f t="shared" si="210"/>
        <v>0</v>
      </c>
      <c r="D902" s="30">
        <f ca="1">(D344+D530+'3. General Model Inputs'!$D$53*D716)*D$6</f>
        <v>0</v>
      </c>
      <c r="E902" s="30">
        <f ca="1">(E344+E530+'3. General Model Inputs'!$D$53*E716)*E$6</f>
        <v>130.05562500000002</v>
      </c>
      <c r="F902" s="30">
        <f ca="1">(F344+F530+'3. General Model Inputs'!$D$53*F716)*F$6</f>
        <v>260.02996523437503</v>
      </c>
      <c r="G902" s="30">
        <f ca="1">(G344+G530+'3. General Model Inputs'!$D$53*G716)*G$6</f>
        <v>259.69659348407453</v>
      </c>
      <c r="H902" s="30">
        <f ca="1">(H344+H530+'3. General Model Inputs'!$D$53*H716)*H$6</f>
        <v>259.1840344179875</v>
      </c>
    </row>
    <row r="903" spans="2:8">
      <c r="B903" s="152">
        <f t="shared" si="210"/>
        <v>0</v>
      </c>
      <c r="D903" s="30">
        <f ca="1">(D345+D531+'3. General Model Inputs'!$D$53*D717)*D$6</f>
        <v>910.64012500000013</v>
      </c>
      <c r="E903" s="30">
        <f ca="1">(E345+E531+'3. General Model Inputs'!$D$53*E717)*E$6</f>
        <v>1781.8191779166668</v>
      </c>
      <c r="F903" s="30">
        <f ca="1">(F345+F531+'3. General Model Inputs'!$D$53*F717)*F$6</f>
        <v>1695.9100389813991</v>
      </c>
      <c r="G903" s="30">
        <f ca="1">(G345+G531+'3. General Model Inputs'!$D$53*G717)*G$6</f>
        <v>1604.5918061131697</v>
      </c>
      <c r="H903" s="30">
        <f ca="1">(H345+H531+'3. General Model Inputs'!$D$53*H717)*H$6</f>
        <v>1507.6477178271659</v>
      </c>
    </row>
    <row r="904" spans="2:8">
      <c r="B904" s="152">
        <f t="shared" si="210"/>
        <v>0</v>
      </c>
      <c r="D904" s="30">
        <f ca="1">(D346+D532+'3. General Model Inputs'!$D$53*D718)*D$6</f>
        <v>0</v>
      </c>
      <c r="E904" s="30">
        <f ca="1">(E346+E532+'3. General Model Inputs'!$D$53*E718)*E$6</f>
        <v>1546.875</v>
      </c>
      <c r="F904" s="30">
        <f ca="1">(F346+F532+'3. General Model Inputs'!$D$53*F718)*F$6</f>
        <v>3112.6025390625</v>
      </c>
      <c r="G904" s="30">
        <f ca="1">(G346+G532+'3. General Model Inputs'!$D$53*G718)*G$6</f>
        <v>3150.0325695955303</v>
      </c>
      <c r="H904" s="30">
        <f ca="1">(H346+H532+'3. General Model Inputs'!$D$53*H718)*H$6</f>
        <v>3187.3887250682974</v>
      </c>
    </row>
    <row r="905" spans="2:8">
      <c r="B905" s="152">
        <f t="shared" si="210"/>
        <v>0</v>
      </c>
      <c r="D905" s="30">
        <f ca="1">(D347+D533+'3. General Model Inputs'!$D$53*D719)*D$6</f>
        <v>524.21900000000005</v>
      </c>
      <c r="E905" s="30">
        <f ca="1">(E347+E533+'3. General Model Inputs'!$D$53*E719)*E$6</f>
        <v>1048.1103631250003</v>
      </c>
      <c r="F905" s="30">
        <f ca="1">(F347+F533+'3. General Model Inputs'!$D$53*F719)*F$6</f>
        <v>1046.7666318902245</v>
      </c>
      <c r="G905" s="30">
        <f ca="1">(G347+G533+'3. General Model Inputs'!$D$53*G719)*G$6</f>
        <v>1044.700645116757</v>
      </c>
      <c r="H905" s="30">
        <f ca="1">(H347+H533+'3. General Model Inputs'!$D$53*H719)*H$6</f>
        <v>1041.8771298596846</v>
      </c>
    </row>
    <row r="906" spans="2:8">
      <c r="B906" s="152">
        <f t="shared" si="210"/>
        <v>0</v>
      </c>
      <c r="D906" s="30">
        <f ca="1">(D348+D534+'3. General Model Inputs'!$D$53*D720)*D$6</f>
        <v>0</v>
      </c>
      <c r="E906" s="30">
        <f ca="1">(E348+E534+'3. General Model Inputs'!$D$53*E720)*E$6</f>
        <v>3375</v>
      </c>
      <c r="F906" s="30">
        <f ca="1">(F348+F534+'3. General Model Inputs'!$D$53*F720)*F$6</f>
        <v>6776.71875</v>
      </c>
      <c r="G906" s="30">
        <f ca="1">(G348+G534+'3. General Model Inputs'!$D$53*G720)*G$6</f>
        <v>6828.4055879237294</v>
      </c>
      <c r="H906" s="30">
        <f ca="1">(H348+H534+'3. General Model Inputs'!$D$53*H720)*H$6</f>
        <v>6878.4413185248941</v>
      </c>
    </row>
    <row r="907" spans="2:8">
      <c r="B907" s="152">
        <f t="shared" ref="B907:B947" si="211">B721</f>
        <v>0</v>
      </c>
      <c r="D907" s="30">
        <f ca="1">(D349+D535+'3. General Model Inputs'!$D$53*D721)*D$6</f>
        <v>0</v>
      </c>
      <c r="E907" s="30">
        <f ca="1">(E349+E535+'3. General Model Inputs'!$D$53*E721)*E$6</f>
        <v>1062.4875</v>
      </c>
      <c r="F907" s="30">
        <f ca="1">(F349+F535+'3. General Model Inputs'!$D$53*F721)*F$6</f>
        <v>2042.6322187500002</v>
      </c>
      <c r="G907" s="30">
        <f ca="1">(G349+G535+'3. General Model Inputs'!$D$53*G721)*G$6</f>
        <v>1861.0649104166671</v>
      </c>
      <c r="H907" s="30">
        <f ca="1">(H349+H535+'3. General Model Inputs'!$D$53*H721)*H$6</f>
        <v>1669.1425915299483</v>
      </c>
    </row>
    <row r="908" spans="2:8">
      <c r="B908" s="152">
        <f t="shared" si="211"/>
        <v>0</v>
      </c>
      <c r="D908" s="30">
        <f ca="1">(D350+D536+'3. General Model Inputs'!$D$53*D722)*D$6</f>
        <v>1283.9762500000002</v>
      </c>
      <c r="E908" s="30">
        <f ca="1">(E350+E536+'3. General Model Inputs'!$D$53*E722)*E$6</f>
        <v>2512.3135291666672</v>
      </c>
      <c r="F908" s="30">
        <f ca="1">(F350+F536+'3. General Model Inputs'!$D$53*F722)*F$6</f>
        <v>2391.1841268675598</v>
      </c>
      <c r="G908" s="30">
        <f ca="1">(G350+G536+'3. General Model Inputs'!$D$53*G722)*G$6</f>
        <v>2262.4280584977682</v>
      </c>
      <c r="H908" s="30">
        <f ca="1">(H350+H536+'3. General Model Inputs'!$D$53*H722)*H$6</f>
        <v>2125.7396966301944</v>
      </c>
    </row>
    <row r="909" spans="2:8">
      <c r="B909" s="152">
        <f t="shared" si="211"/>
        <v>0</v>
      </c>
      <c r="D909" s="30">
        <f ca="1">(D351+D537+'3. General Model Inputs'!$D$53*D723)*D$6</f>
        <v>0</v>
      </c>
      <c r="E909" s="30">
        <f ca="1">(E351+E537+'3. General Model Inputs'!$D$53*E723)*E$6</f>
        <v>43.189250000000001</v>
      </c>
      <c r="F909" s="30">
        <f ca="1">(F351+F537+'3. General Model Inputs'!$D$53*F723)*F$6</f>
        <v>84.506965833333339</v>
      </c>
      <c r="G909" s="30">
        <f ca="1">(G351+G537+'3. General Model Inputs'!$D$53*G723)*G$6</f>
        <v>80.43252283779762</v>
      </c>
      <c r="H909" s="30">
        <f ca="1">(H351+H537+'3. General Model Inputs'!$D$53*H723)*H$6</f>
        <v>76.101540838839284</v>
      </c>
    </row>
    <row r="910" spans="2:8">
      <c r="B910" s="152">
        <f t="shared" si="211"/>
        <v>0</v>
      </c>
      <c r="D910" s="30">
        <f ca="1">(D352+D538+'3. General Model Inputs'!$D$53*D724)*D$6</f>
        <v>1975.7872499999999</v>
      </c>
      <c r="E910" s="30">
        <f ca="1">(E352+E538+'3. General Model Inputs'!$D$53*E724)*E$6</f>
        <v>3950.3396329687494</v>
      </c>
      <c r="F910" s="30">
        <f ca="1">(F352+F538+'3. General Model Inputs'!$D$53*F724)*F$6</f>
        <v>3945.2750949777637</v>
      </c>
      <c r="G910" s="30">
        <f ca="1">(G352+G538+'3. General Model Inputs'!$D$53*G724)*G$6</f>
        <v>3937.4883678166225</v>
      </c>
      <c r="H910" s="30">
        <f ca="1">(H352+H538+'3. General Model Inputs'!$D$53*H724)*H$6</f>
        <v>3926.8465073630637</v>
      </c>
    </row>
    <row r="911" spans="2:8">
      <c r="B911" s="152">
        <f t="shared" si="211"/>
        <v>0</v>
      </c>
      <c r="D911" s="30">
        <f ca="1">(D353+D539+'3. General Model Inputs'!$D$53*D725)*D$6</f>
        <v>0</v>
      </c>
      <c r="E911" s="30">
        <f ca="1">(E353+E539+'3. General Model Inputs'!$D$53*E725)*E$6</f>
        <v>988.23199999999997</v>
      </c>
      <c r="F911" s="30">
        <f ca="1">(F353+F539+'3. General Model Inputs'!$D$53*F725)*F$6</f>
        <v>1975.8463550000001</v>
      </c>
      <c r="G911" s="30">
        <f ca="1">(G353+G539+'3. General Model Inputs'!$D$53*G725)*G$6</f>
        <v>1973.3132186474359</v>
      </c>
      <c r="H911" s="30">
        <f ca="1">(H353+H539+'3. General Model Inputs'!$D$53*H725)*H$6</f>
        <v>1969.4185215053687</v>
      </c>
    </row>
    <row r="912" spans="2:8">
      <c r="B912" s="152">
        <f t="shared" si="211"/>
        <v>0</v>
      </c>
      <c r="D912" s="30">
        <f ca="1">(D354+D540+'3. General Model Inputs'!$D$53*D726)*D$6</f>
        <v>2730.1942500000005</v>
      </c>
      <c r="E912" s="30">
        <f ca="1">(E354+E540+'3. General Model Inputs'!$D$53*E726)*E$6</f>
        <v>5482.0025378125001</v>
      </c>
      <c r="F912" s="30">
        <f ca="1">(F354+F540+'3. General Model Inputs'!$D$53*F726)*F$6</f>
        <v>5523.8144215754774</v>
      </c>
      <c r="G912" s="30">
        <f ca="1">(G354+G540+'3. General Model Inputs'!$D$53*G726)*G$6</f>
        <v>5564.2906479404701</v>
      </c>
      <c r="H912" s="30">
        <f ca="1">(H354+H540+'3. General Model Inputs'!$D$53*H726)*H$6</f>
        <v>5603.338301610228</v>
      </c>
    </row>
    <row r="913" spans="2:8">
      <c r="B913" s="152">
        <f t="shared" si="211"/>
        <v>0</v>
      </c>
      <c r="D913" s="30">
        <f ca="1">(D355+D541+'3. General Model Inputs'!$D$53*D727)*D$6</f>
        <v>0</v>
      </c>
      <c r="E913" s="30">
        <f ca="1">(E355+E541+'3. General Model Inputs'!$D$53*E727)*E$6</f>
        <v>1700</v>
      </c>
      <c r="F913" s="30">
        <f ca="1">(F355+F541+'3. General Model Inputs'!$D$53*F727)*F$6</f>
        <v>3413.4583333333339</v>
      </c>
      <c r="G913" s="30">
        <f ca="1">(G355+G541+'3. General Model Inputs'!$D$53*G727)*G$6</f>
        <v>3439.4931850282492</v>
      </c>
      <c r="H913" s="30">
        <f ca="1">(H355+H541+'3. General Model Inputs'!$D$53*H727)*H$6</f>
        <v>3464.6963678495772</v>
      </c>
    </row>
    <row r="914" spans="2:8">
      <c r="B914" s="152">
        <f t="shared" si="211"/>
        <v>0</v>
      </c>
      <c r="D914" s="30">
        <f ca="1">(D356+D542+'3. General Model Inputs'!$D$53*D728)*D$6</f>
        <v>0</v>
      </c>
      <c r="E914" s="30">
        <f ca="1">(E356+E542+'3. General Model Inputs'!$D$53*E728)*E$6</f>
        <v>2937.5</v>
      </c>
      <c r="F914" s="30">
        <f ca="1">(F356+F542+'3. General Model Inputs'!$D$53*F728)*F$6</f>
        <v>5898.2552083333339</v>
      </c>
      <c r="G914" s="30">
        <f ca="1">(G356+G542+'3. General Model Inputs'!$D$53*G728)*G$6</f>
        <v>5943.2419006002829</v>
      </c>
      <c r="H914" s="30">
        <f ca="1">(H356+H542+'3. General Model Inputs'!$D$53*H728)*H$6</f>
        <v>5986.7915179753718</v>
      </c>
    </row>
    <row r="915" spans="2:8">
      <c r="B915" s="152">
        <f t="shared" si="211"/>
        <v>0</v>
      </c>
      <c r="D915" s="30">
        <f ca="1">(D357+D543+'3. General Model Inputs'!$D$53*D729)*D$6</f>
        <v>900.48137499999996</v>
      </c>
      <c r="E915" s="30">
        <f ca="1">(E357+E543+'3. General Model Inputs'!$D$53*E729)*E$6</f>
        <v>1638.8761025000001</v>
      </c>
      <c r="F915" s="30">
        <f ca="1">(F357+F543+'3. General Model Inputs'!$D$53*F729)*F$6</f>
        <v>1259.886003796875</v>
      </c>
      <c r="G915" s="30">
        <f ca="1">(G357+G543+'3. General Model Inputs'!$D$53*G729)*G$6</f>
        <v>860.92210259453134</v>
      </c>
      <c r="H915" s="30">
        <f ca="1">(H357+H543+'3. General Model Inputs'!$D$53*H729)*H$6</f>
        <v>441.22257757969732</v>
      </c>
    </row>
    <row r="916" spans="2:8">
      <c r="B916" s="152">
        <f t="shared" si="211"/>
        <v>0</v>
      </c>
      <c r="D916" s="30">
        <f ca="1">(D358+D544+'3. General Model Inputs'!$D$53*D730)*D$6</f>
        <v>0</v>
      </c>
      <c r="E916" s="30">
        <f ca="1">(E358+E544+'3. General Model Inputs'!$D$53*E730)*E$6</f>
        <v>1377.803625</v>
      </c>
      <c r="F916" s="30">
        <f ca="1">(F358+F544+'3. General Model Inputs'!$D$53*F730)*F$6</f>
        <v>2507.6025974999998</v>
      </c>
      <c r="G916" s="30">
        <f ca="1">(G358+G544+'3. General Model Inputs'!$D$53*G730)*G$6</f>
        <v>1927.7194968281249</v>
      </c>
      <c r="H916" s="30">
        <f ca="1">(H358+H544+'3. General Model Inputs'!$D$53*H730)*H$6</f>
        <v>1317.2749894992187</v>
      </c>
    </row>
    <row r="917" spans="2:8">
      <c r="B917" s="152">
        <f t="shared" si="211"/>
        <v>0</v>
      </c>
      <c r="D917" s="30">
        <f ca="1">(D359+D545+'3. General Model Inputs'!$D$53*D731)*D$6</f>
        <v>0</v>
      </c>
      <c r="E917" s="30">
        <f ca="1">(E359+E545+'3. General Model Inputs'!$D$53*E731)*E$6</f>
        <v>6250</v>
      </c>
      <c r="F917" s="30">
        <f ca="1">(F359+F545+'3. General Model Inputs'!$D$53*F731)*F$6</f>
        <v>12335.9375</v>
      </c>
      <c r="G917" s="30">
        <f ca="1">(G359+G545+'3. General Model Inputs'!$D$53*G731)*G$6</f>
        <v>11978.844572368422</v>
      </c>
      <c r="H917" s="30">
        <f ca="1">(H359+H545+'3. General Model Inputs'!$D$53*H731)*H$6</f>
        <v>11596.187037417765</v>
      </c>
    </row>
    <row r="918" spans="2:8">
      <c r="B918" s="152">
        <f t="shared" si="211"/>
        <v>0</v>
      </c>
      <c r="D918" s="30">
        <f ca="1">(D360+D546+'3. General Model Inputs'!$D$53*D732)*D$6</f>
        <v>6814.1102500000015</v>
      </c>
      <c r="E918" s="30">
        <f ca="1">(E360+E546+'3. General Model Inputs'!$D$53*E732)*E$6</f>
        <v>13623.961681093753</v>
      </c>
      <c r="F918" s="30">
        <f ca="1">(F360+F546+'3. General Model Inputs'!$D$53*F732)*F$6</f>
        <v>13606.495063553892</v>
      </c>
      <c r="G918" s="30">
        <f ca="1">(G360+G546+'3. General Model Inputs'!$D$53*G732)*G$6</f>
        <v>13579.64013908635</v>
      </c>
      <c r="H918" s="30">
        <f ca="1">(H360+H546+'3. General Model Inputs'!$D$53*H732)*H$6</f>
        <v>13542.938408980712</v>
      </c>
    </row>
    <row r="919" spans="2:8">
      <c r="B919" s="152">
        <f t="shared" si="211"/>
        <v>0</v>
      </c>
      <c r="D919" s="30">
        <f ca="1">(D361+D547+'3. General Model Inputs'!$D$53*D733)*D$6</f>
        <v>0</v>
      </c>
      <c r="E919" s="30">
        <f ca="1">(E361+E547+'3. General Model Inputs'!$D$53*E733)*E$6</f>
        <v>22667.18075</v>
      </c>
      <c r="F919" s="30">
        <f ca="1">(F361+F547+'3. General Model Inputs'!$D$53*F733)*F$6</f>
        <v>45320.194512031252</v>
      </c>
      <c r="G919" s="30">
        <f ca="1">(G361+G547+'3. General Model Inputs'!$D$53*G733)*G$6</f>
        <v>45262.091698554286</v>
      </c>
      <c r="H919" s="30">
        <f ca="1">(H361+H547+'3. General Model Inputs'!$D$53*H733)*H$6</f>
        <v>45172.758622833462</v>
      </c>
    </row>
    <row r="920" spans="2:8">
      <c r="B920" s="152">
        <f t="shared" si="211"/>
        <v>0</v>
      </c>
      <c r="D920" s="30">
        <f ca="1">(D362+D548+'3. General Model Inputs'!$D$53*D734)*D$6</f>
        <v>0</v>
      </c>
      <c r="E920" s="30">
        <f ca="1">(E362+E548+'3. General Model Inputs'!$D$53*E734)*E$6</f>
        <v>2000</v>
      </c>
      <c r="F920" s="30">
        <f ca="1">(F362+F548+'3. General Model Inputs'!$D$53*F734)*F$6</f>
        <v>3998.75</v>
      </c>
      <c r="G920" s="30">
        <f ca="1">(G362+G548+'3. General Model Inputs'!$D$53*G734)*G$6</f>
        <v>3993.6233974358979</v>
      </c>
      <c r="H920" s="30">
        <f ca="1">(H362+H548+'3. General Model Inputs'!$D$53*H734)*H$6</f>
        <v>3985.7412459935899</v>
      </c>
    </row>
    <row r="921" spans="2:8">
      <c r="B921" s="152">
        <f t="shared" si="211"/>
        <v>0</v>
      </c>
      <c r="D921" s="30">
        <f ca="1">(D363+D549+'3. General Model Inputs'!$D$53*D735)*D$6</f>
        <v>0</v>
      </c>
      <c r="E921" s="30">
        <f ca="1">(E363+E549+'3. General Model Inputs'!$D$53*E735)*E$6</f>
        <v>10132.500000000002</v>
      </c>
      <c r="F921" s="30">
        <f ca="1">(F363+F549+'3. General Model Inputs'!$D$53*F735)*F$6</f>
        <v>20258.667187500003</v>
      </c>
      <c r="G921" s="30">
        <f ca="1">(G363+G549+'3. General Model Inputs'!$D$53*G735)*G$6</f>
        <v>20232.694537259624</v>
      </c>
      <c r="H921" s="30">
        <f ca="1">(H363+H549+'3. General Model Inputs'!$D$53*H735)*H$6</f>
        <v>20192.761587515033</v>
      </c>
    </row>
    <row r="922" spans="2:8">
      <c r="B922" s="152">
        <f t="shared" si="211"/>
        <v>0</v>
      </c>
      <c r="D922" s="30">
        <f ca="1">(D364+D550+'3. General Model Inputs'!$D$53*D736)*D$6</f>
        <v>0</v>
      </c>
      <c r="E922" s="30">
        <f ca="1">(E364+E550+'3. General Model Inputs'!$D$53*E736)*E$6</f>
        <v>843.75</v>
      </c>
      <c r="F922" s="30">
        <f ca="1">(F364+F550+'3. General Model Inputs'!$D$53*F736)*F$6</f>
        <v>1622.109375</v>
      </c>
      <c r="G922" s="30">
        <f ca="1">(G364+G550+'3. General Model Inputs'!$D$53*G736)*G$6</f>
        <v>1477.921875</v>
      </c>
      <c r="H922" s="30">
        <f ca="1">(H364+H550+'3. General Model Inputs'!$D$53*H736)*H$6</f>
        <v>1325.5111816406252</v>
      </c>
    </row>
    <row r="923" spans="2:8">
      <c r="B923" s="152">
        <f t="shared" si="211"/>
        <v>0</v>
      </c>
      <c r="D923" s="30">
        <f ca="1">(D365+D551+'3. General Model Inputs'!$D$53*D737)*D$6</f>
        <v>0</v>
      </c>
      <c r="E923" s="30">
        <f ca="1">(E365+E551+'3. General Model Inputs'!$D$53*E737)*E$6</f>
        <v>9479.15625</v>
      </c>
      <c r="F923" s="30">
        <f ca="1">(F365+F551+'3. General Model Inputs'!$D$53*F737)*F$6</f>
        <v>18952.38802734375</v>
      </c>
      <c r="G923" s="30">
        <f ca="1">(G365+G551+'3. General Model Inputs'!$D$53*G737)*G$6</f>
        <v>18928.090093975363</v>
      </c>
      <c r="H923" s="30">
        <f ca="1">(H365+H551+'3. General Model Inputs'!$D$53*H737)*H$6</f>
        <v>18890.732021421467</v>
      </c>
    </row>
    <row r="924" spans="2:8">
      <c r="B924" s="152">
        <f t="shared" si="211"/>
        <v>0</v>
      </c>
      <c r="D924" s="30">
        <f ca="1">(D366+D552+'3. General Model Inputs'!$D$53*D738)*D$6</f>
        <v>68914.078718335004</v>
      </c>
      <c r="E924" s="30">
        <f ca="1">(E366+E552+'3. General Model Inputs'!$D$53*E738)*E$6</f>
        <v>139080.09653338642</v>
      </c>
      <c r="F924" s="30">
        <f ca="1">(F366+F552+'3. General Model Inputs'!$D$53*F738)*F$6</f>
        <v>141600.33989338737</v>
      </c>
      <c r="G924" s="30">
        <f ca="1">(G366+G552+'3. General Model Inputs'!$D$53*G738)*G$6</f>
        <v>144159.670361055</v>
      </c>
      <c r="H924" s="30">
        <f ca="1">(H366+H552+'3. General Model Inputs'!$D$53*H738)*H$6</f>
        <v>146758.46713967266</v>
      </c>
    </row>
    <row r="925" spans="2:8">
      <c r="B925" s="152">
        <f t="shared" si="211"/>
        <v>0</v>
      </c>
      <c r="D925" s="30">
        <f ca="1">(D367+D553+'3. General Model Inputs'!$D$53*D739)*D$6</f>
        <v>4845.8875905878767</v>
      </c>
      <c r="E925" s="30">
        <f ca="1">(E367+E553+'3. General Model Inputs'!$D$53*E739)*E$6</f>
        <v>9779.808805738101</v>
      </c>
      <c r="F925" s="30">
        <f ca="1">(F367+F553+'3. General Model Inputs'!$D$53*F739)*F$6</f>
        <v>9957.0268176541595</v>
      </c>
      <c r="G925" s="30">
        <f ca="1">(G367+G553+'3. General Model Inputs'!$D$53*G739)*G$6</f>
        <v>10136.993349662436</v>
      </c>
      <c r="H925" s="30">
        <f ca="1">(H367+H553+'3. General Model Inputs'!$D$53*H739)*H$6</f>
        <v>10319.735066510091</v>
      </c>
    </row>
    <row r="926" spans="2:8">
      <c r="B926" s="152">
        <f t="shared" si="211"/>
        <v>0</v>
      </c>
      <c r="D926" s="30">
        <f ca="1">(D368+D554+'3. General Model Inputs'!$D$53*D740)*D$6</f>
        <v>1315.312311075551</v>
      </c>
      <c r="E926" s="30">
        <f ca="1">(E368+E554+'3. General Model Inputs'!$D$53*E740)*E$6</f>
        <v>2618.5675926329095</v>
      </c>
      <c r="F926" s="30">
        <f ca="1">(F368+F554+'3. General Model Inputs'!$D$53*F740)*F$6</f>
        <v>2591.4789623642932</v>
      </c>
      <c r="G926" s="30">
        <f ca="1">(G368+G554+'3. General Model Inputs'!$D$53*G740)*G$6</f>
        <v>2561.3992958368503</v>
      </c>
      <c r="H926" s="30">
        <f ca="1">(H368+H554+'3. General Model Inputs'!$D$53*H740)*H$6</f>
        <v>2528.1959716315578</v>
      </c>
    </row>
    <row r="927" spans="2:8">
      <c r="B927" s="152">
        <f t="shared" si="211"/>
        <v>0</v>
      </c>
      <c r="D927" s="30">
        <f ca="1">(D369+D555+'3. General Model Inputs'!$D$53*D741)*D$6</f>
        <v>138.45388586350859</v>
      </c>
      <c r="E927" s="30">
        <f ca="1">(E369+E555+'3. General Model Inputs'!$D$53*E741)*E$6</f>
        <v>273.27335722310005</v>
      </c>
      <c r="F927" s="30">
        <f ca="1">(F369+F555+'3. General Model Inputs'!$D$53*F741)*F$6</f>
        <v>265.36281267190509</v>
      </c>
      <c r="G927" s="30">
        <f ca="1">(G369+G555+'3. General Model Inputs'!$D$53*G741)*G$6</f>
        <v>256.88594504488589</v>
      </c>
      <c r="H927" s="30">
        <f ca="1">(H369+H555+'3. General Model Inputs'!$D$53*H741)*H$6</f>
        <v>247.81938227859578</v>
      </c>
    </row>
    <row r="928" spans="2:8">
      <c r="B928" s="152">
        <f t="shared" si="211"/>
        <v>0</v>
      </c>
      <c r="D928" s="30">
        <f ca="1">(D370+D556+'3. General Model Inputs'!$D$53*D742)*D$6</f>
        <v>623.04249413818513</v>
      </c>
      <c r="E928" s="30">
        <f ca="1">(E370+E556+'3. General Model Inputs'!$D$53*E742)*E$6</f>
        <v>1197.7991949806608</v>
      </c>
      <c r="F928" s="30">
        <f ca="1">(F370+F556+'3. General Model Inputs'!$D$53*F742)*F$6</f>
        <v>1091.3281554268244</v>
      </c>
      <c r="G928" s="30">
        <f ca="1">(G370+G556+'3. General Model Inputs'!$D$53*G742)*G$6</f>
        <v>978.78493939843327</v>
      </c>
      <c r="H928" s="30">
        <f ca="1">(H370+H556+'3. General Model Inputs'!$D$53*H742)*H$6</f>
        <v>859.93248247148063</v>
      </c>
    </row>
    <row r="929" spans="2:8">
      <c r="B929" s="152">
        <f t="shared" si="211"/>
        <v>0</v>
      </c>
      <c r="D929" s="30">
        <f ca="1">(D371+D557+'3. General Model Inputs'!$D$53*D743)*D$6</f>
        <v>76.524901369023638</v>
      </c>
      <c r="E929" s="30">
        <f ca="1">(E371+E557+'3. General Model Inputs'!$D$53*E743)*E$6</f>
        <v>151.04102407711039</v>
      </c>
      <c r="F929" s="30">
        <f ca="1">(F371+F557+'3. General Model Inputs'!$D$53*F743)*F$6</f>
        <v>146.66878390645721</v>
      </c>
      <c r="G929" s="30">
        <f ca="1">(G371+G557+'3. General Model Inputs'!$D$53*G743)*G$6</f>
        <v>141.98353108722316</v>
      </c>
      <c r="H929" s="30">
        <f ca="1">(H371+H557+'3. General Model Inputs'!$D$53*H743)*H$6</f>
        <v>136.97234763708587</v>
      </c>
    </row>
    <row r="930" spans="2:8">
      <c r="B930" s="152">
        <f t="shared" si="211"/>
        <v>0</v>
      </c>
      <c r="D930" s="30">
        <f ca="1">(D372+D558+'3. General Model Inputs'!$D$53*D744)*D$6</f>
        <v>382.6241672685278</v>
      </c>
      <c r="E930" s="30">
        <f ca="1">(E372+E558+'3. General Model Inputs'!$D$53*E744)*E$6</f>
        <v>761.7409463370941</v>
      </c>
      <c r="F930" s="30">
        <f ca="1">(F372+F558+'3. General Model Inputs'!$D$53*F744)*F$6</f>
        <v>753.86086758188276</v>
      </c>
      <c r="G930" s="30">
        <f ca="1">(G372+G558+'3. General Model Inputs'!$D$53*G744)*G$6</f>
        <v>745.11069679745015</v>
      </c>
      <c r="H930" s="30">
        <f ca="1">(H372+H558+'3. General Model Inputs'!$D$53*H744)*H$6</f>
        <v>735.45185443155731</v>
      </c>
    </row>
    <row r="931" spans="2:8">
      <c r="B931" s="152">
        <f t="shared" si="211"/>
        <v>0</v>
      </c>
      <c r="D931" s="30">
        <f ca="1">(D373+D559+'3. General Model Inputs'!$D$53*D745)*D$6</f>
        <v>344.22802042928686</v>
      </c>
      <c r="E931" s="30">
        <f ca="1">(E373+E559+'3. General Model Inputs'!$D$53*E745)*E$6</f>
        <v>685.30061733797186</v>
      </c>
      <c r="F931" s="30">
        <f ca="1">(F373+F559+'3. General Model Inputs'!$D$53*F745)*F$6</f>
        <v>678.21130060688938</v>
      </c>
      <c r="G931" s="30">
        <f ca="1">(G373+G559+'3. General Model Inputs'!$D$53*G745)*G$6</f>
        <v>670.33920515341663</v>
      </c>
      <c r="H931" s="30">
        <f ca="1">(H373+H559+'3. General Model Inputs'!$D$53*H745)*H$6</f>
        <v>661.64962286439095</v>
      </c>
    </row>
    <row r="932" spans="2:8">
      <c r="B932" s="152">
        <f t="shared" si="211"/>
        <v>0</v>
      </c>
      <c r="D932" s="30">
        <f ca="1">(D374+D560+'3. General Model Inputs'!$D$53*D746)*D$6</f>
        <v>76.524833453705554</v>
      </c>
      <c r="E932" s="30">
        <f ca="1">(E374+E560+'3. General Model Inputs'!$D$53*E746)*E$6</f>
        <v>151.04089002925133</v>
      </c>
      <c r="F932" s="30">
        <f ca="1">(F374+F560+'3. General Model Inputs'!$D$53*F746)*F$6</f>
        <v>146.66865373893089</v>
      </c>
      <c r="G932" s="30">
        <f ca="1">(G374+G560+'3. General Model Inputs'!$D$53*G746)*G$6</f>
        <v>141.98340507782615</v>
      </c>
      <c r="H932" s="30">
        <f ca="1">(H374+H560+'3. General Model Inputs'!$D$53*H746)*H$6</f>
        <v>136.97222607507933</v>
      </c>
    </row>
    <row r="933" spans="2:8">
      <c r="B933" s="152">
        <f t="shared" si="211"/>
        <v>0</v>
      </c>
      <c r="D933" s="30">
        <f ca="1">(D375+D561+'3. General Model Inputs'!$D$53*D747)*D$6</f>
        <v>114.74272060134354</v>
      </c>
      <c r="E933" s="30">
        <f ca="1">(E375+E561+'3. General Model Inputs'!$D$53*E747)*E$6</f>
        <v>226.47344478690181</v>
      </c>
      <c r="F933" s="30">
        <f ca="1">(F375+F561+'3. General Model Inputs'!$D$53*F747)*F$6</f>
        <v>219.91763454307045</v>
      </c>
      <c r="G933" s="30">
        <f ca="1">(G375+G561+'3. General Model Inputs'!$D$53*G747)*G$6</f>
        <v>212.89248788405567</v>
      </c>
      <c r="H933" s="30">
        <f ca="1">(H375+H561+'3. General Model Inputs'!$D$53*H747)*H$6</f>
        <v>205.37863537050077</v>
      </c>
    </row>
    <row r="934" spans="2:8">
      <c r="B934" s="152">
        <f t="shared" si="211"/>
        <v>0</v>
      </c>
      <c r="D934" s="30">
        <f ca="1">(D376+D562+'3. General Model Inputs'!$D$53*D748)*D$6</f>
        <v>7116.8095111946168</v>
      </c>
      <c r="E934" s="30">
        <f ca="1">(E376+E562+'3. General Model Inputs'!$D$53*E748)*E$6</f>
        <v>14338.591962679355</v>
      </c>
      <c r="F934" s="30">
        <f ca="1">(F376+F562+'3. General Model Inputs'!$D$53*F748)*F$6</f>
        <v>14548.601642940819</v>
      </c>
      <c r="G934" s="30">
        <f ca="1">(G376+G562+'3. General Model Inputs'!$D$53*G748)*G$6</f>
        <v>14760.150187238682</v>
      </c>
      <c r="H934" s="30">
        <f ca="1">(H376+H562+'3. General Model Inputs'!$D$53*H748)*H$6</f>
        <v>14973.183282724603</v>
      </c>
    </row>
    <row r="935" spans="2:8">
      <c r="B935" s="152">
        <f t="shared" si="211"/>
        <v>0</v>
      </c>
      <c r="D935" s="30">
        <f ca="1">(D377+D563+'3. General Model Inputs'!$D$53*D749)*D$6</f>
        <v>1262.1693971525033</v>
      </c>
      <c r="E935" s="30">
        <f ca="1">(E377+E563+'3. General Model Inputs'!$D$53*E749)*E$6</f>
        <v>2542.955792913006</v>
      </c>
      <c r="F935" s="30">
        <f ca="1">(F377+F563+'3. General Model Inputs'!$D$53*F749)*F$6</f>
        <v>2580.2011050314286</v>
      </c>
      <c r="G935" s="30">
        <f ca="1">(G377+G563+'3. General Model Inputs'!$D$53*G749)*G$6</f>
        <v>2617.7193353852022</v>
      </c>
      <c r="H935" s="30">
        <f ca="1">(H377+H563+'3. General Model Inputs'!$D$53*H749)*H$6</f>
        <v>2655.5008515660197</v>
      </c>
    </row>
    <row r="936" spans="2:8">
      <c r="B936" s="152">
        <f t="shared" si="211"/>
        <v>0</v>
      </c>
      <c r="D936" s="30">
        <f ca="1">(D378+D564+'3. General Model Inputs'!$D$53*D750)*D$6</f>
        <v>1721.139928893072</v>
      </c>
      <c r="E936" s="30">
        <f ca="1">(E378+E564+'3. General Model Inputs'!$D$53*E750)*E$6</f>
        <v>3308.8915132969305</v>
      </c>
      <c r="F936" s="30">
        <f ca="1">(F378+F564+'3. General Model Inputs'!$D$53*F750)*F$6</f>
        <v>3014.7678232260923</v>
      </c>
      <c r="G936" s="30">
        <f ca="1">(G378+G564+'3. General Model Inputs'!$D$53*G750)*G$6</f>
        <v>2703.8698914559018</v>
      </c>
      <c r="H936" s="30">
        <f ca="1">(H378+H564+'3. General Model Inputs'!$D$53*H750)*H$6</f>
        <v>2375.5428332076854</v>
      </c>
    </row>
    <row r="937" spans="2:8">
      <c r="B937" s="152">
        <f t="shared" si="211"/>
        <v>0</v>
      </c>
      <c r="D937" s="30">
        <f ca="1">(D379+D565+'3. General Model Inputs'!$D$53*D751)*D$6</f>
        <v>8031.9865196379224</v>
      </c>
      <c r="E937" s="30">
        <f ca="1">(E379+E565+'3. General Model Inputs'!$D$53*E751)*E$6</f>
        <v>15935.461254961638</v>
      </c>
      <c r="F937" s="30">
        <f ca="1">(F379+F565+'3. General Model Inputs'!$D$53*F751)*F$6</f>
        <v>15653.270795238359</v>
      </c>
      <c r="G937" s="30">
        <f ca="1">(G379+G565+'3. General Model Inputs'!$D$53*G751)*G$6</f>
        <v>15347.011149244565</v>
      </c>
      <c r="H937" s="30">
        <f ca="1">(H379+H565+'3. General Model Inputs'!$D$53*H751)*H$6</f>
        <v>15015.655226704057</v>
      </c>
    </row>
    <row r="938" spans="2:8">
      <c r="B938" s="152">
        <f t="shared" si="211"/>
        <v>0</v>
      </c>
      <c r="D938" s="30">
        <f ca="1">(D380+D566+'3. General Model Inputs'!$D$53*D752)*D$6</f>
        <v>5994.6375000000007</v>
      </c>
      <c r="E938" s="30">
        <f ca="1">(E380+E566+'3. General Model Inputs'!$D$53*E752)*E$6</f>
        <v>12098.17758125</v>
      </c>
      <c r="F938" s="30">
        <f ca="1">(F380+F566+'3. General Model Inputs'!$D$53*F752)*F$6</f>
        <v>12317.406302520974</v>
      </c>
      <c r="G938" s="30">
        <f ca="1">(G380+G566+'3. General Model Inputs'!$D$53*G752)*G$6</f>
        <v>12540.035098867214</v>
      </c>
      <c r="H938" s="30">
        <f ca="1">(H380+H566+'3. General Model Inputs'!$D$53*H752)*H$6</f>
        <v>12766.096956091691</v>
      </c>
    </row>
    <row r="939" spans="2:8">
      <c r="B939" s="152">
        <f t="shared" si="211"/>
        <v>0</v>
      </c>
      <c r="D939" s="30">
        <f ca="1">(D381+D567+'3. General Model Inputs'!$D$53*D753)*D$6</f>
        <v>418.00090393186696</v>
      </c>
      <c r="E939" s="30">
        <f ca="1">(E381+E567+'3. General Model Inputs'!$D$53*E753)*E$6</f>
        <v>842.16732119672895</v>
      </c>
      <c r="F939" s="30">
        <f ca="1">(F381+F567+'3. General Model Inputs'!$D$53*F753)*F$6</f>
        <v>854.50209509304466</v>
      </c>
      <c r="G939" s="30">
        <f ca="1">(G381+G567+'3. General Model Inputs'!$D$53*G753)*G$6</f>
        <v>866.92725310842798</v>
      </c>
      <c r="H939" s="30">
        <f ca="1">(H381+H567+'3. General Model Inputs'!$D$53*H753)*H$6</f>
        <v>879.43960521514771</v>
      </c>
    </row>
    <row r="940" spans="2:8">
      <c r="B940" s="152">
        <f t="shared" si="211"/>
        <v>0</v>
      </c>
      <c r="D940" s="30">
        <f ca="1">(D382+D568+'3. General Model Inputs'!$D$53*D754)*D$6</f>
        <v>3223.7206758065586</v>
      </c>
      <c r="E940" s="30">
        <f ca="1">(E382+E568+'3. General Model Inputs'!$D$53*E754)*E$6</f>
        <v>6486.7304473495096</v>
      </c>
      <c r="F940" s="30">
        <f ca="1">(F382+F568+'3. General Model Inputs'!$D$53*F754)*F$6</f>
        <v>6564.7354337416873</v>
      </c>
      <c r="G940" s="30">
        <f ca="1">(G382+G568+'3. General Model Inputs'!$D$53*G754)*G$6</f>
        <v>6642.5864629238804</v>
      </c>
      <c r="H940" s="30">
        <f ca="1">(H382+H568+'3. General Model Inputs'!$D$53*H754)*H$6</f>
        <v>6720.227083919096</v>
      </c>
    </row>
    <row r="941" spans="2:8">
      <c r="B941" s="152">
        <f t="shared" si="211"/>
        <v>0</v>
      </c>
      <c r="D941" s="30">
        <f ca="1">(D383+D569+'3. General Model Inputs'!$D$53*D755)*D$6</f>
        <v>830.77682708165923</v>
      </c>
      <c r="E941" s="30">
        <f ca="1">(E383+E569+'3. General Model Inputs'!$D$53*E755)*E$6</f>
        <v>1668.1306373777149</v>
      </c>
      <c r="F941" s="30">
        <f ca="1">(F383+F569+'3. General Model Inputs'!$D$53*F755)*F$6</f>
        <v>1680.8536676627991</v>
      </c>
      <c r="G941" s="30">
        <f ca="1">(G383+G569+'3. General Model Inputs'!$D$53*G755)*G$6</f>
        <v>1693.1702678137765</v>
      </c>
      <c r="H941" s="30">
        <f ca="1">(H383+H569+'3. General Model Inputs'!$D$53*H755)*H$6</f>
        <v>1705.0521644300138</v>
      </c>
    </row>
    <row r="942" spans="2:8">
      <c r="B942" s="152">
        <f t="shared" si="211"/>
        <v>0</v>
      </c>
      <c r="D942" s="30">
        <f ca="1">(D384+D570+'3. General Model Inputs'!$D$53*D756)*D$6</f>
        <v>368.36329658995777</v>
      </c>
      <c r="E942" s="30">
        <f ca="1">(E384+E570+'3. General Model Inputs'!$D$53*E756)*E$6</f>
        <v>733.34992962784099</v>
      </c>
      <c r="F942" s="30">
        <f ca="1">(F384+F570+'3. General Model Inputs'!$D$53*F756)*F$6</f>
        <v>725.76355104548395</v>
      </c>
      <c r="G942" s="30">
        <f ca="1">(G384+G570+'3. General Model Inputs'!$D$53*G756)*G$6</f>
        <v>717.33950982799183</v>
      </c>
      <c r="H942" s="30">
        <f ca="1">(H384+H570+'3. General Model Inputs'!$D$53*H756)*H$6</f>
        <v>708.0406643302216</v>
      </c>
    </row>
    <row r="943" spans="2:8">
      <c r="B943" s="152">
        <f t="shared" si="211"/>
        <v>0</v>
      </c>
      <c r="D943" s="30">
        <f ca="1">(D385+D571+'3. General Model Inputs'!$D$53*D757)*D$6</f>
        <v>368.36329658995777</v>
      </c>
      <c r="E943" s="30">
        <f ca="1">(E385+E571+'3. General Model Inputs'!$D$53*E757)*E$6</f>
        <v>733.34992962784099</v>
      </c>
      <c r="F943" s="30">
        <f ca="1">(F385+F571+'3. General Model Inputs'!$D$53*F757)*F$6</f>
        <v>725.76355104548395</v>
      </c>
      <c r="G943" s="30">
        <f ca="1">(G385+G571+'3. General Model Inputs'!$D$53*G757)*G$6</f>
        <v>717.33950982799183</v>
      </c>
      <c r="H943" s="30">
        <f ca="1">(H385+H571+'3. General Model Inputs'!$D$53*H757)*H$6</f>
        <v>708.0406643302216</v>
      </c>
    </row>
    <row r="944" spans="2:8">
      <c r="B944" s="152">
        <f t="shared" si="211"/>
        <v>0</v>
      </c>
      <c r="D944" s="30">
        <f ca="1">(D386+D572+'3. General Model Inputs'!$D$53*D758)*D$6</f>
        <v>1043.2625</v>
      </c>
      <c r="E944" s="30">
        <f ca="1">(E386+E572+'3. General Model Inputs'!$D$53*E758)*E$6</f>
        <v>2099.2397617187503</v>
      </c>
      <c r="F944" s="30">
        <f ca="1">(F386+F572+'3. General Model Inputs'!$D$53*F758)*F$6</f>
        <v>2124.4837841697986</v>
      </c>
      <c r="G944" s="30">
        <f ca="1">(G386+G572+'3. General Model Inputs'!$D$53*G758)*G$6</f>
        <v>2149.677982892325</v>
      </c>
      <c r="H944" s="30">
        <f ca="1">(H386+H572+'3. General Model Inputs'!$D$53*H758)*H$6</f>
        <v>2174.8040891858718</v>
      </c>
    </row>
    <row r="945" spans="2:8">
      <c r="B945" s="152">
        <f t="shared" si="211"/>
        <v>0</v>
      </c>
      <c r="D945" s="30">
        <f ca="1">(D387+D573+'3. General Model Inputs'!$D$53*D759)*D$6</f>
        <v>1297.1601250000001</v>
      </c>
      <c r="E945" s="30">
        <f ca="1">(E387+E573+'3. General Model Inputs'!$D$53*E759)*E$6</f>
        <v>2493.7903403125001</v>
      </c>
      <c r="F945" s="30">
        <f ca="1">(F387+F573+'3. General Model Inputs'!$D$53*F759)*F$6</f>
        <v>2272.1200878402774</v>
      </c>
      <c r="G945" s="30">
        <f ca="1">(G387+G573+'3. General Model Inputs'!$D$53*G759)*G$6</f>
        <v>2037.8077037817491</v>
      </c>
      <c r="H945" s="30">
        <f ca="1">(H387+H573+'3. General Model Inputs'!$D$53*H759)*H$6</f>
        <v>1790.3596254653935</v>
      </c>
    </row>
    <row r="946" spans="2:8">
      <c r="B946" s="2" t="str">
        <f t="shared" si="211"/>
        <v>Carndo Year 4 Reduction</v>
      </c>
      <c r="D946" s="30">
        <f ca="1">(D388+D574+'3. General Model Inputs'!$D$53*D760)*D$6</f>
        <v>0</v>
      </c>
      <c r="E946" s="30">
        <f ca="1">(E388+E574+'3. General Model Inputs'!$D$53*E760)*E$6</f>
        <v>0</v>
      </c>
      <c r="F946" s="30">
        <f ca="1">(F388+F574+'3. General Model Inputs'!$D$53*F760)*F$6</f>
        <v>0</v>
      </c>
      <c r="G946" s="30">
        <f ca="1">(G388+G574+'3. General Model Inputs'!$D$53*G760)*G$6</f>
        <v>-26010.516317584566</v>
      </c>
      <c r="H946" s="30">
        <f ca="1">(H388+H574+'3. General Model Inputs'!$D$53*H760)*H$6</f>
        <v>-51889.135643600704</v>
      </c>
    </row>
    <row r="947" spans="2:8">
      <c r="B947" s="2" t="str">
        <f t="shared" si="211"/>
        <v>Carndo Year 5 Reduction</v>
      </c>
      <c r="D947" s="30">
        <f ca="1">(D389+D575+'3. General Model Inputs'!$D$53*D761)*D$6</f>
        <v>0</v>
      </c>
      <c r="E947" s="30">
        <f ca="1">(E389+E575+'3. General Model Inputs'!$D$53*E761)*E$6</f>
        <v>0</v>
      </c>
      <c r="F947" s="30">
        <f ca="1">(F389+F575+'3. General Model Inputs'!$D$53*F761)*F$6</f>
        <v>0</v>
      </c>
      <c r="G947" s="30">
        <f ca="1">(G389+G575+'3. General Model Inputs'!$D$53*G761)*G$6</f>
        <v>0</v>
      </c>
      <c r="H947" s="30">
        <f ca="1">(H389+H575+'3. General Model Inputs'!$D$53*H761)*H$6</f>
        <v>-46928.208141827083</v>
      </c>
    </row>
    <row r="948" spans="2:8">
      <c r="B948" s="2" t="s">
        <v>53</v>
      </c>
      <c r="D948" s="48">
        <f ca="1">SUM(D765:D947)</f>
        <v>433042.55506249989</v>
      </c>
      <c r="E948" s="48">
        <f ca="1">SUM(E765:E947)</f>
        <v>1202550.188464802</v>
      </c>
      <c r="F948" s="48">
        <f ca="1">SUM(F765:F947)</f>
        <v>1841457.1937647944</v>
      </c>
      <c r="G948" s="48">
        <f ca="1">SUM(G765:G947)</f>
        <v>2502053.7348813307</v>
      </c>
      <c r="H948" s="48">
        <f ca="1">SUM(H765:H947)</f>
        <v>3383757.2555875392</v>
      </c>
    </row>
    <row r="949" spans="2:8">
      <c r="D949" s="70"/>
      <c r="E949" s="70"/>
      <c r="F949" s="70"/>
      <c r="G949" s="70"/>
      <c r="H949" s="70"/>
    </row>
    <row r="950" spans="2:8" ht="15.75">
      <c r="B950" s="10" t="s">
        <v>13</v>
      </c>
      <c r="D950" s="30"/>
      <c r="E950" s="30"/>
      <c r="F950" s="30"/>
      <c r="G950" s="30"/>
      <c r="H950" s="30"/>
    </row>
    <row r="951" spans="2:8">
      <c r="B951" s="152">
        <f>B765</f>
        <v>0</v>
      </c>
      <c r="D951" s="30">
        <f ca="1">IF(D22&lt;1,-(D207+D393+D579+D765),-(D207+D393+'3. General Model Inputs'!$D$53*D579+D765)/D22)</f>
        <v>-1413.9983052083332</v>
      </c>
      <c r="E951" s="30">
        <f ca="1">IF(E22&lt;1,-(E207+E393+E579+E765),-(E207+E393+'3. General Model Inputs'!$D$53*E579+E765)/E22)</f>
        <v>-2887.3126410165078</v>
      </c>
      <c r="F951" s="30">
        <f ca="1">IF(F22&lt;1,-(F207+F393+F579+F765),-(F207+F393+'3. General Model Inputs'!$D$53*F579+F765)/F22)</f>
        <v>-2959.4954570419204</v>
      </c>
      <c r="G951" s="30">
        <f ca="1">IF(G22&lt;1,-(G207+G393+G579+G765),-(G207+G393+'3. General Model Inputs'!$D$53*G579+G765)/G22)</f>
        <v>-3033.4828434679685</v>
      </c>
      <c r="H951" s="30">
        <f ca="1">IF(H22&lt;1,-(H207+H393+H579+H765),-(H207+H393+'3. General Model Inputs'!$D$53*H579+H765)/H22)</f>
        <v>-3109.3199145546678</v>
      </c>
    </row>
    <row r="952" spans="2:8">
      <c r="B952" s="152">
        <f t="shared" ref="B952:B1015" si="212">B766</f>
        <v>0</v>
      </c>
      <c r="D952" s="30">
        <f ca="1">IF(D23&lt;1,-(D208+D394+D580+D766),-(D208+D394+'3. General Model Inputs'!$D$53*D580+D766)/D23)</f>
        <v>0</v>
      </c>
      <c r="E952" s="30">
        <f ca="1">IF(E23&lt;1,-(E208+E394+E580+E766),-(E208+E394+'3. General Model Inputs'!$D$53*E580+E766)/E23)</f>
        <v>-4347.5859739583339</v>
      </c>
      <c r="F952" s="30">
        <f ca="1">IF(F23&lt;1,-(F208+F394+F580+F766),-(F208+F394+'3. General Model Inputs'!$D$53*F580+F766)/F23)</f>
        <v>-8877.5494951293258</v>
      </c>
      <c r="G952" s="30">
        <f ca="1">IF(G23&lt;1,-(G208+G394+G580+G766),-(G208+G394+'3. General Model Inputs'!$D$53*G580+G766)/G23)</f>
        <v>-9099.4882325075596</v>
      </c>
      <c r="H952" s="30">
        <f ca="1">IF(H23&lt;1,-(H208+H394+H580+H766),-(H208+H394+'3. General Model Inputs'!$D$53*H580+H766)/H23)</f>
        <v>-9326.9754383202471</v>
      </c>
    </row>
    <row r="953" spans="2:8">
      <c r="B953" s="152">
        <f t="shared" si="212"/>
        <v>0</v>
      </c>
      <c r="D953" s="30">
        <f ca="1">IF(D24&lt;1,-(D209+D395+D581+D767),-(D209+D395+'3. General Model Inputs'!$D$53*D581+D767)/D24)</f>
        <v>0</v>
      </c>
      <c r="E953" s="30">
        <f ca="1">IF(E24&lt;1,-(E209+E395+E581+E767),-(E209+E395+'3. General Model Inputs'!$D$53*E581+E767)/E24)</f>
        <v>0</v>
      </c>
      <c r="F953" s="30">
        <f ca="1">IF(F24&lt;1,-(F209+F395+F581+F767),-(F209+F395+'3. General Model Inputs'!$D$53*F581+F767)/F24)</f>
        <v>-900.57781249999994</v>
      </c>
      <c r="G953" s="30">
        <f ca="1">IF(G24&lt;1,-(G209+G395+G581+G767),-(G209+G395+'3. General Model Inputs'!$D$53*G581+G767)/G24)</f>
        <v>-1838.934101032839</v>
      </c>
      <c r="H953" s="30">
        <f ca="1">IF(H24&lt;1,-(H209+H395+H581+H767),-(H209+H395+'3. General Model Inputs'!$D$53*H581+H767)/H24)</f>
        <v>-1884.9074535586601</v>
      </c>
    </row>
    <row r="954" spans="2:8">
      <c r="B954" s="152">
        <f t="shared" si="212"/>
        <v>0</v>
      </c>
      <c r="D954" s="30">
        <f ca="1">IF(D25&lt;1,-(D210+D396+D582+D768),-(D210+D396+'3. General Model Inputs'!$D$53*D582+D768)/D25)</f>
        <v>-3359.1142833333338</v>
      </c>
      <c r="E954" s="30">
        <f ca="1">IF(E25&lt;1,-(E210+E396+E582+E768),-(E210+E396+'3. General Model Inputs'!$D$53*E582+E768)/E25)</f>
        <v>-7042.1431582738105</v>
      </c>
      <c r="F954" s="30">
        <f ca="1">IF(F25&lt;1,-(F210+F396+F582+F768),-(F210+F396+'3. General Model Inputs'!$D$53*F582+F768)/F25)</f>
        <v>-7218.1967372306553</v>
      </c>
      <c r="G954" s="30">
        <f ca="1">IF(G25&lt;1,-(G210+G396+G582+G768),-(G210+G396+'3. General Model Inputs'!$D$53*G582+G768)/G25)</f>
        <v>-7398.6516556614224</v>
      </c>
      <c r="H954" s="30">
        <f ca="1">IF(H25&lt;1,-(H210+H396+H582+H768),-(H210+H396+'3. General Model Inputs'!$D$53*H582+H768)/H25)</f>
        <v>-7583.6179470529578</v>
      </c>
    </row>
    <row r="955" spans="2:8">
      <c r="B955" s="152">
        <f t="shared" si="212"/>
        <v>0</v>
      </c>
      <c r="D955" s="30">
        <f ca="1">IF(D26&lt;1,-(D211+D397+D583+D769),-(D211+D397+'3. General Model Inputs'!$D$53*D583+D769)/D26)</f>
        <v>0</v>
      </c>
      <c r="E955" s="30">
        <f ca="1">IF(E26&lt;1,-(E211+E397+E583+E769),-(E211+E397+'3. General Model Inputs'!$D$53*E583+E769)/E26)</f>
        <v>-144.49407916666669</v>
      </c>
      <c r="F955" s="30">
        <f ca="1">IF(F26&lt;1,-(F211+F397+F583+F769),-(F211+F397+'3. General Model Inputs'!$D$53*F583+F769)/F26)</f>
        <v>-302.92151596726188</v>
      </c>
      <c r="G955" s="30">
        <f ca="1">IF(G26&lt;1,-(G211+G397+G583+G769),-(G211+G397+'3. General Model Inputs'!$D$53*G583+G769)/G26)</f>
        <v>-310.49455386644348</v>
      </c>
      <c r="H955" s="30">
        <f ca="1">IF(H26&lt;1,-(H211+H397+H583+H769),-(H211+H397+'3. General Model Inputs'!$D$53*H583+H769)/H26)</f>
        <v>-318.2569177131046</v>
      </c>
    </row>
    <row r="956" spans="2:8">
      <c r="B956" s="152">
        <f t="shared" si="212"/>
        <v>0</v>
      </c>
      <c r="D956" s="30">
        <f ca="1">IF(D27&lt;1,-(D212+D398+D584+D770),-(D212+D398+'3. General Model Inputs'!$D$53*D584+D770)/D27)</f>
        <v>-2333.3800416666668</v>
      </c>
      <c r="E956" s="30">
        <f ca="1">IF(E27&lt;1,-(E212+E398+E584+E770),-(E212+E398+'3. General Model Inputs'!$D$53*E584+E770)/E27)</f>
        <v>-4764.6433986405373</v>
      </c>
      <c r="F956" s="30">
        <f ca="1">IF(F27&lt;1,-(F212+F398+F584+F770),-(F212+F398+'3. General Model Inputs'!$D$53*F584+F770)/F27)</f>
        <v>-4883.7594836065509</v>
      </c>
      <c r="G956" s="30">
        <f ca="1">IF(G27&lt;1,-(G212+G398+G584+G770),-(G212+G398+'3. General Model Inputs'!$D$53*G584+G770)/G27)</f>
        <v>-5005.8534706967148</v>
      </c>
      <c r="H956" s="30">
        <f ca="1">IF(H27&lt;1,-(H212+H398+H584+H770),-(H212+H398+'3. General Model Inputs'!$D$53*H584+H770)/H27)</f>
        <v>-5130.9998074641326</v>
      </c>
    </row>
    <row r="957" spans="2:8">
      <c r="B957" s="152">
        <f t="shared" si="212"/>
        <v>0</v>
      </c>
      <c r="D957" s="30">
        <f ca="1">IF(D28&lt;1,-(D213+D399+D585+D771),-(D213+D399+'3. General Model Inputs'!$D$53*D585+D771)/D28)</f>
        <v>0</v>
      </c>
      <c r="E957" s="30">
        <f ca="1">IF(E28&lt;1,-(E213+E399+E585+E771),-(E213+E399+'3. General Model Inputs'!$D$53*E585+E771)/E28)</f>
        <v>-15683.81108888889</v>
      </c>
      <c r="F957" s="30">
        <f ca="1">IF(F28&lt;1,-(F213+F399+F585+F771),-(F213+F399+'3. General Model Inputs'!$D$53*F585+F771)/F28)</f>
        <v>-32025.54476159134</v>
      </c>
      <c r="G957" s="30">
        <f ca="1">IF(G28&lt;1,-(G213+G399+G585+G771),-(G213+G399+'3. General Model Inputs'!$D$53*G585+G771)/G28)</f>
        <v>-32826.183380631119</v>
      </c>
      <c r="H957" s="30">
        <f ca="1">IF(H28&lt;1,-(H213+H399+H585+H771),-(H213+H399+'3. General Model Inputs'!$D$53*H585+H771)/H28)</f>
        <v>-33646.8379651469</v>
      </c>
    </row>
    <row r="958" spans="2:8">
      <c r="B958" s="152">
        <f t="shared" si="212"/>
        <v>0</v>
      </c>
      <c r="D958" s="30">
        <f ca="1">IF(D29&lt;1,-(D214+D400+D586+D772),-(D214+D400+'3. General Model Inputs'!$D$53*D586+D772)/D29)</f>
        <v>0</v>
      </c>
      <c r="E958" s="30">
        <f ca="1">IF(E29&lt;1,-(E214+E400+E586+E772),-(E214+E400+'3. General Model Inputs'!$D$53*E586+E772)/E29)</f>
        <v>0</v>
      </c>
      <c r="F958" s="30">
        <f ca="1">IF(F29&lt;1,-(F214+F400+F586+F772),-(F214+F400+'3. General Model Inputs'!$D$53*F586+F772)/F29)</f>
        <v>-37156.25</v>
      </c>
      <c r="G958" s="30">
        <f ca="1">IF(G29&lt;1,-(G214+G400+G586+G772),-(G214+G400+'3. General Model Inputs'!$D$53*G586+G772)/G29)</f>
        <v>-75871.173199152545</v>
      </c>
      <c r="H958" s="30">
        <f ca="1">IF(H29&lt;1,-(H214+H400+H586+H772),-(H214+H400+'3. General Model Inputs'!$D$53*H586+H772)/H29)</f>
        <v>-77767.952529131348</v>
      </c>
    </row>
    <row r="959" spans="2:8">
      <c r="B959" s="152">
        <f t="shared" si="212"/>
        <v>0</v>
      </c>
      <c r="D959" s="30">
        <f ca="1">IF(D30&lt;1,-(D215+D401+D587+D773),-(D215+D401+'3. General Model Inputs'!$D$53*D587+D773)/D30)</f>
        <v>0</v>
      </c>
      <c r="E959" s="30">
        <f ca="1">IF(E30&lt;1,-(E215+E401+E587+E773),-(E215+E401+'3. General Model Inputs'!$D$53*E587+E773)/E30)</f>
        <v>0</v>
      </c>
      <c r="F959" s="30">
        <f ca="1">IF(F30&lt;1,-(F215+F401+F587+F773),-(F215+F401+'3. General Model Inputs'!$D$53*F587+F773)/F30)</f>
        <v>-4457.4419471526871</v>
      </c>
      <c r="G959" s="30">
        <f ca="1">IF(G30&lt;1,-(G215+G401+G587+G773),-(G215+G401+'3. General Model Inputs'!$D$53*G587+G773)/G30)</f>
        <v>-9101.869806495255</v>
      </c>
      <c r="H959" s="30">
        <f ca="1">IF(H30&lt;1,-(H215+H401+H587+H773),-(H215+H401+'3. General Model Inputs'!$D$53*H587+H773)/H30)</f>
        <v>-9329.4165516576359</v>
      </c>
    </row>
    <row r="960" spans="2:8">
      <c r="B960" s="152">
        <f t="shared" si="212"/>
        <v>0</v>
      </c>
      <c r="D960" s="30">
        <f ca="1">IF(D31&lt;1,-(D216+D402+D588+D774),-(D216+D402+'3. General Model Inputs'!$D$53*D588+D774)/D31)</f>
        <v>0</v>
      </c>
      <c r="E960" s="30">
        <f ca="1">IF(E31&lt;1,-(E216+E402+E588+E774),-(E216+E402+'3. General Model Inputs'!$D$53*E588+E774)/E31)</f>
        <v>0</v>
      </c>
      <c r="F960" s="30">
        <f ca="1">IF(F31&lt;1,-(F216+F402+F588+F774),-(F216+F402+'3. General Model Inputs'!$D$53*F588+F774)/F31)</f>
        <v>0</v>
      </c>
      <c r="G960" s="30">
        <f ca="1">IF(G31&lt;1,-(G216+G402+G588+G774),-(G216+G402+'3. General Model Inputs'!$D$53*G588+G774)/G31)</f>
        <v>-22867.253197669568</v>
      </c>
      <c r="H960" s="30">
        <f ca="1">IF(H31&lt;1,-(H216+H402+H588+H774),-(H216+H402+'3. General Model Inputs'!$D$53*H588+H774)/H31)</f>
        <v>-46693.768287953237</v>
      </c>
    </row>
    <row r="961" spans="2:8">
      <c r="B961" s="152">
        <f t="shared" si="212"/>
        <v>0</v>
      </c>
      <c r="D961" s="30">
        <f ca="1">IF(D32&lt;1,-(D217+D403+D589+D775),-(D217+D403+'3. General Model Inputs'!$D$53*D589+D775)/D32)</f>
        <v>0</v>
      </c>
      <c r="E961" s="30">
        <f ca="1">IF(E32&lt;1,-(E217+E403+E589+E775),-(E217+E403+'3. General Model Inputs'!$D$53*E589+E775)/E32)</f>
        <v>0</v>
      </c>
      <c r="F961" s="30">
        <f ca="1">IF(F32&lt;1,-(F217+F403+F589+F775),-(F217+F403+'3. General Model Inputs'!$D$53*F589+F775)/F32)</f>
        <v>0</v>
      </c>
      <c r="G961" s="30">
        <f ca="1">IF(G32&lt;1,-(G217+G403+G589+G775),-(G217+G403+'3. General Model Inputs'!$D$53*G589+G775)/G32)</f>
        <v>0</v>
      </c>
      <c r="H961" s="30">
        <f ca="1">IF(H32&lt;1,-(H217+H403+H589+H775),-(H217+H403+'3. General Model Inputs'!$D$53*H589+H775)/H32)</f>
        <v>-101498.71092268241</v>
      </c>
    </row>
    <row r="962" spans="2:8">
      <c r="B962" s="152">
        <f t="shared" si="212"/>
        <v>0</v>
      </c>
      <c r="D962" s="30">
        <f ca="1">IF(D33&lt;1,-(D218+D404+D590+D776),-(D218+D404+'3. General Model Inputs'!$D$53*D590+D776)/D33)</f>
        <v>-3090.2274640625005</v>
      </c>
      <c r="E962" s="30">
        <f ca="1">IF(E33&lt;1,-(E218+E404+E590+E776),-(E218+E404+'3. General Model Inputs'!$D$53*E590+E776)/E33)</f>
        <v>-6296.8274180691269</v>
      </c>
      <c r="F962" s="30">
        <f ca="1">IF(F33&lt;1,-(F218+F404+F590+F776),-(F218+F404+'3. General Model Inputs'!$D$53*F590+F776)/F33)</f>
        <v>-6454.2481035208557</v>
      </c>
      <c r="G962" s="30">
        <f ca="1">IF(G33&lt;1,-(G218+G404+G590+G776),-(G218+G404+'3. General Model Inputs'!$D$53*G590+G776)/G33)</f>
        <v>-6615.6043061088767</v>
      </c>
      <c r="H962" s="30">
        <f ca="1">IF(H33&lt;1,-(H218+H404+H590+H776),-(H218+H404+'3. General Model Inputs'!$D$53*H590+H776)/H33)</f>
        <v>-6780.9944137615985</v>
      </c>
    </row>
    <row r="963" spans="2:8">
      <c r="B963" s="152">
        <f t="shared" si="212"/>
        <v>0</v>
      </c>
      <c r="D963" s="30">
        <f ca="1">IF(D34&lt;1,-(D219+D405+D591+D777),-(D219+D405+'3. General Model Inputs'!$D$53*D591+D777)/D34)</f>
        <v>0</v>
      </c>
      <c r="E963" s="30">
        <f ca="1">IF(E34&lt;1,-(E219+E405+E591+E777),-(E219+E405+'3. General Model Inputs'!$D$53*E591+E777)/E34)</f>
        <v>-2633.429103125</v>
      </c>
      <c r="F963" s="30">
        <f ca="1">IF(F34&lt;1,-(F219+F405+F591+F777),-(F219+F405+'3. General Model Inputs'!$D$53*F591+F777)/F34)</f>
        <v>-5366.0284794373028</v>
      </c>
      <c r="G963" s="30">
        <f ca="1">IF(G34&lt;1,-(G219+G405+G591+G777),-(G219+G405+'3. General Model Inputs'!$D$53*G591+G777)/G34)</f>
        <v>-5500.1791914232354</v>
      </c>
      <c r="H963" s="30">
        <f ca="1">IF(H34&lt;1,-(H219+H405+H591+H777),-(H219+H405+'3. General Model Inputs'!$D$53*H591+H777)/H34)</f>
        <v>-5637.6836712088161</v>
      </c>
    </row>
    <row r="964" spans="2:8">
      <c r="B964" s="152">
        <f t="shared" si="212"/>
        <v>0</v>
      </c>
      <c r="D964" s="30">
        <f ca="1">IF(D35&lt;1,-(D220+D406+D592+D778),-(D220+D406+'3. General Model Inputs'!$D$53*D592+D778)/D35)</f>
        <v>0</v>
      </c>
      <c r="E964" s="30">
        <f ca="1">IF(E35&lt;1,-(E220+E406+E592+E778),-(E220+E406+'3. General Model Inputs'!$D$53*E592+E778)/E35)</f>
        <v>0</v>
      </c>
      <c r="F964" s="30">
        <f ca="1">IF(F35&lt;1,-(F220+F406+F592+F778),-(F220+F406+'3. General Model Inputs'!$D$53*F592+F778)/F35)</f>
        <v>-19031.008437500001</v>
      </c>
      <c r="G964" s="30">
        <f ca="1">IF(G35&lt;1,-(G220+G406+G592+G778),-(G220+G406+'3. General Model Inputs'!$D$53*G592+G778)/G35)</f>
        <v>-38778.690926918513</v>
      </c>
      <c r="H964" s="30">
        <f ca="1">IF(H35&lt;1,-(H220+H406+H592+H778),-(H220+H406+'3. General Model Inputs'!$D$53*H592+H778)/H35)</f>
        <v>-39748.158200091479</v>
      </c>
    </row>
    <row r="965" spans="2:8">
      <c r="B965" s="152">
        <f t="shared" si="212"/>
        <v>0</v>
      </c>
      <c r="D965" s="30">
        <f ca="1">IF(D36&lt;1,-(D221+D407+D593+D779),-(D221+D407+'3. General Model Inputs'!$D$53*D593+D779)/D36)</f>
        <v>0</v>
      </c>
      <c r="E965" s="30">
        <f ca="1">IF(E36&lt;1,-(E221+E407+E593+E779),-(E221+E407+'3. General Model Inputs'!$D$53*E593+E779)/E36)</f>
        <v>0</v>
      </c>
      <c r="F965" s="30">
        <f ca="1">IF(F36&lt;1,-(F221+F407+F593+F779),-(F221+F407+'3. General Model Inputs'!$D$53*F593+F779)/F36)</f>
        <v>0</v>
      </c>
      <c r="G965" s="30">
        <f ca="1">IF(G36&lt;1,-(G221+G407+G593+G779),-(G221+G407+'3. General Model Inputs'!$D$53*G593+G779)/G36)</f>
        <v>-19566.391562500001</v>
      </c>
      <c r="H965" s="30">
        <f ca="1">IF(H36&lt;1,-(H221+H407+H593+H779),-(H221+H407+'3. General Model Inputs'!$D$53*H593+H779)/H36)</f>
        <v>-39869.618756625794</v>
      </c>
    </row>
    <row r="966" spans="2:8">
      <c r="B966" s="152">
        <f t="shared" si="212"/>
        <v>0</v>
      </c>
      <c r="D966" s="30">
        <f ca="1">IF(D37&lt;1,-(D222+D408+D594+D780),-(D222+D408+'3. General Model Inputs'!$D$53*D594+D780)/D37)</f>
        <v>0</v>
      </c>
      <c r="E966" s="30">
        <f ca="1">IF(E37&lt;1,-(E222+E408+E594+E780),-(E222+E408+'3. General Model Inputs'!$D$53*E594+E780)/E37)</f>
        <v>0</v>
      </c>
      <c r="F966" s="30">
        <f ca="1">IF(F37&lt;1,-(F222+F408+F594+F780),-(F222+F408+'3. General Model Inputs'!$D$53*F594+F780)/F37)</f>
        <v>0</v>
      </c>
      <c r="G966" s="30">
        <f ca="1">IF(G37&lt;1,-(G222+G408+G594+G780),-(G222+G408+'3. General Model Inputs'!$D$53*G594+G780)/G37)</f>
        <v>0</v>
      </c>
      <c r="H966" s="30">
        <f ca="1">IF(H37&lt;1,-(H222+H408+H594+H780),-(H222+H408+'3. General Model Inputs'!$D$53*H594+H780)/H37)</f>
        <v>-20136.567031250001</v>
      </c>
    </row>
    <row r="967" spans="2:8">
      <c r="B967" s="152">
        <f t="shared" si="212"/>
        <v>0</v>
      </c>
      <c r="D967" s="30">
        <f ca="1">IF(D38&lt;1,-(D223+D409+D595+D781),-(D223+D409+'3. General Model Inputs'!$D$53*D595+D781)/D38)</f>
        <v>-32188.390187500005</v>
      </c>
      <c r="E967" s="30">
        <f ca="1">IF(E38&lt;1,-(E223+E409+E595+E781),-(E223+E409+'3. General Model Inputs'!$D$53*E595+E781)/E38)</f>
        <v>-66006.833467828532</v>
      </c>
      <c r="F967" s="30">
        <f ca="1">IF(F38&lt;1,-(F223+F409+F595+F781),-(F223+F409+'3. General Model Inputs'!$D$53*F595+F781)/F38)</f>
        <v>-67657.004304524235</v>
      </c>
      <c r="G967" s="30">
        <f ca="1">IF(G38&lt;1,-(G223+G409+G595+G781),-(G223+G409+'3. General Model Inputs'!$D$53*G595+G781)/G38)</f>
        <v>-69348.429412137353</v>
      </c>
      <c r="H967" s="30">
        <f ca="1">IF(H38&lt;1,-(H223+H409+H595+H781),-(H223+H409+'3. General Model Inputs'!$D$53*H595+H781)/H38)</f>
        <v>-71082.140147440776</v>
      </c>
    </row>
    <row r="968" spans="2:8">
      <c r="B968" s="152">
        <f t="shared" si="212"/>
        <v>0</v>
      </c>
      <c r="D968" s="30">
        <f ca="1">IF(D39&lt;1,-(D224+D410+D596+D782),-(D224+D410+'3. General Model Inputs'!$D$53*D596+D782)/D39)</f>
        <v>0</v>
      </c>
      <c r="E968" s="30">
        <f ca="1">IF(E39&lt;1,-(E224+E410+E596+E782),-(E224+E410+'3. General Model Inputs'!$D$53*E596+E782)/E39)</f>
        <v>-68113.673996875004</v>
      </c>
      <c r="F968" s="30">
        <f ca="1">IF(F39&lt;1,-(F224+F410+F596+F782),-(F224+F410+'3. General Model Inputs'!$D$53*F596+F782)/F39)</f>
        <v>-139676.69430513022</v>
      </c>
      <c r="G968" s="30">
        <f ca="1">IF(G39&lt;1,-(G224+G410+G596+G782),-(G224+G410+'3. General Model Inputs'!$D$53*G596+G782)/G39)</f>
        <v>-143168.61166275846</v>
      </c>
      <c r="H968" s="30">
        <f ca="1">IF(H39&lt;1,-(H224+H410+H596+H782),-(H224+H410+'3. General Model Inputs'!$D$53*H596+H782)/H39)</f>
        <v>-146747.82695432744</v>
      </c>
    </row>
    <row r="969" spans="2:8">
      <c r="B969" s="152">
        <f t="shared" si="212"/>
        <v>0</v>
      </c>
      <c r="D969" s="30">
        <f ca="1">IF(D40&lt;1,-(D225+D411+D597+D783),-(D225+D411+'3. General Model Inputs'!$D$53*D597+D783)/D40)</f>
        <v>0</v>
      </c>
      <c r="E969" s="30">
        <f ca="1">IF(E40&lt;1,-(E225+E411+E597+E783),-(E225+E411+'3. General Model Inputs'!$D$53*E597+E783)/E40)</f>
        <v>0</v>
      </c>
      <c r="F969" s="30">
        <f ca="1">IF(F40&lt;1,-(F225+F411+F597+F783),-(F225+F411+'3. General Model Inputs'!$D$53*F597+F783)/F40)</f>
        <v>-17541.258190624994</v>
      </c>
      <c r="G969" s="30">
        <f ca="1">IF(G40&lt;1,-(G225+G411+G597+G783),-(G225+G411+'3. General Model Inputs'!$D$53*G597+G783)/G40)</f>
        <v>-35970.82368705728</v>
      </c>
      <c r="H969" s="30">
        <f ca="1">IF(H40&lt;1,-(H225+H411+H597+H783),-(H225+H411+'3. General Model Inputs'!$D$53*H597+H783)/H40)</f>
        <v>-36870.094279233708</v>
      </c>
    </row>
    <row r="970" spans="2:8">
      <c r="B970" s="152">
        <f t="shared" si="212"/>
        <v>0</v>
      </c>
      <c r="D970" s="30">
        <f ca="1">IF(D41&lt;1,-(D226+D412+D598+D784),-(D226+D412+'3. General Model Inputs'!$D$53*D598+D784)/D41)</f>
        <v>0</v>
      </c>
      <c r="E970" s="30">
        <f ca="1">IF(E41&lt;1,-(E226+E412+E598+E784),-(E226+E412+'3. General Model Inputs'!$D$53*E598+E784)/E41)</f>
        <v>0</v>
      </c>
      <c r="F970" s="30">
        <f ca="1">IF(F41&lt;1,-(F226+F412+F598+F784),-(F226+F412+'3. General Model Inputs'!$D$53*F598+F784)/F41)</f>
        <v>-10697.860673166448</v>
      </c>
      <c r="G970" s="30">
        <f ca="1">IF(G41&lt;1,-(G226+G412+G598+G784),-(G226+G412+'3. General Model Inputs'!$D$53*G598+G784)/G41)</f>
        <v>-21881.491550369534</v>
      </c>
      <c r="H970" s="30">
        <f ca="1">IF(H41&lt;1,-(H226+H412+H598+H784),-(H226+H412+'3. General Model Inputs'!$D$53*H598+H784)/H41)</f>
        <v>-22428.528839128776</v>
      </c>
    </row>
    <row r="971" spans="2:8">
      <c r="B971" s="152">
        <f t="shared" si="212"/>
        <v>0</v>
      </c>
      <c r="D971" s="30">
        <f ca="1">IF(D42&lt;1,-(D227+D413+D599+D785),-(D227+D413+'3. General Model Inputs'!$D$53*D599+D785)/D42)</f>
        <v>0</v>
      </c>
      <c r="E971" s="30">
        <f ca="1">IF(E42&lt;1,-(E227+E413+E599+E785),-(E227+E413+'3. General Model Inputs'!$D$53*E599+E785)/E42)</f>
        <v>0</v>
      </c>
      <c r="F971" s="30">
        <f ca="1">IF(F42&lt;1,-(F227+F413+F599+F785),-(F227+F413+'3. General Model Inputs'!$D$53*F599+F785)/F42)</f>
        <v>0</v>
      </c>
      <c r="G971" s="30">
        <f ca="1">IF(G42&lt;1,-(G227+G413+G599+G785),-(G227+G413+'3. General Model Inputs'!$D$53*G599+G785)/G42)</f>
        <v>-32928.844604644182</v>
      </c>
      <c r="H971" s="30">
        <f ca="1">IF(H42&lt;1,-(H227+H413+H599+H785),-(H227+H413+'3. General Model Inputs'!$D$53*H599+H785)/H42)</f>
        <v>-67352.927561233926</v>
      </c>
    </row>
    <row r="972" spans="2:8">
      <c r="B972" s="152">
        <f t="shared" si="212"/>
        <v>0</v>
      </c>
      <c r="D972" s="30">
        <f ca="1">IF(D43&lt;1,-(D228+D414+D600+D786),-(D228+D414+'3. General Model Inputs'!$D$53*D600+D786)/D43)</f>
        <v>0</v>
      </c>
      <c r="E972" s="30">
        <f ca="1">IF(E43&lt;1,-(E228+E414+E600+E786),-(E228+E414+'3. General Model Inputs'!$D$53*E600+E786)/E43)</f>
        <v>0</v>
      </c>
      <c r="F972" s="30">
        <f ca="1">IF(F43&lt;1,-(F228+F414+F600+F786),-(F228+F414+'3. General Model Inputs'!$D$53*F600+F786)/F43)</f>
        <v>0</v>
      </c>
      <c r="G972" s="30">
        <f ca="1">IF(G43&lt;1,-(G228+G414+G600+G786),-(G228+G414+'3. General Model Inputs'!$D$53*G600+G786)/G43)</f>
        <v>0</v>
      </c>
      <c r="H972" s="30">
        <f ca="1">IF(H43&lt;1,-(H228+H414+H600+H786),-(H228+H414+'3. General Model Inputs'!$D$53*H600+H786)/H43)</f>
        <v>-44290.346584443236</v>
      </c>
    </row>
    <row r="973" spans="2:8">
      <c r="B973" s="152">
        <f t="shared" si="212"/>
        <v>0</v>
      </c>
      <c r="D973" s="30">
        <f ca="1">IF(D44&lt;1,-(D229+D415+D601+D787),-(D229+D415+'3. General Model Inputs'!$D$53*D601+D787)/D44)</f>
        <v>0</v>
      </c>
      <c r="E973" s="30">
        <f ca="1">IF(E44&lt;1,-(E229+E415+E601+E787),-(E229+E415+'3. General Model Inputs'!$D$53*E601+E787)/E44)</f>
        <v>-4849.9754166666671</v>
      </c>
      <c r="F973" s="30">
        <f ca="1">IF(F44&lt;1,-(F229+F415+F601+F787),-(F229+F415+'3. General Model Inputs'!$D$53*F601+F787)/F44)</f>
        <v>-9988.4407503591956</v>
      </c>
      <c r="G973" s="30">
        <f ca="1">IF(G44&lt;1,-(G229+G415+G601+G787),-(G229+G415+'3. General Model Inputs'!$D$53*G601+G787)/G44)</f>
        <v>-10238.151769118176</v>
      </c>
      <c r="H973" s="30">
        <f ca="1">IF(H44&lt;1,-(H229+H415+H601+H787),-(H229+H415+'3. General Model Inputs'!$D$53*H601+H787)/H44)</f>
        <v>-10494.105563346131</v>
      </c>
    </row>
    <row r="974" spans="2:8">
      <c r="B974" s="152">
        <f t="shared" si="212"/>
        <v>0</v>
      </c>
      <c r="D974" s="30">
        <f ca="1">IF(D45&lt;1,-(D230+D416+D602+D788),-(D230+D416+'3. General Model Inputs'!$D$53*D602+D788)/D45)</f>
        <v>0</v>
      </c>
      <c r="E974" s="30">
        <f ca="1">IF(E45&lt;1,-(E230+E416+E602+E788),-(E230+E416+'3. General Model Inputs'!$D$53*E602+E788)/E45)</f>
        <v>0</v>
      </c>
      <c r="F974" s="30">
        <f ca="1">IF(F45&lt;1,-(F230+F416+F602+F788),-(F230+F416+'3. General Model Inputs'!$D$53*F602+F788)/F45)</f>
        <v>-7855.992916666667</v>
      </c>
      <c r="G974" s="30">
        <f ca="1">IF(G45&lt;1,-(G230+G416+G602+G788),-(G230+G416+'3. General Model Inputs'!$D$53*G602+G788)/G45)</f>
        <v>-16179.281963721263</v>
      </c>
      <c r="H974" s="30">
        <f ca="1">IF(H45&lt;1,-(H230+H416+H602+H788),-(H230+H416+'3. General Model Inputs'!$D$53*H602+H788)/H45)</f>
        <v>-16583.764012814292</v>
      </c>
    </row>
    <row r="975" spans="2:8">
      <c r="B975" s="152">
        <f t="shared" si="212"/>
        <v>0</v>
      </c>
      <c r="D975" s="30">
        <f ca="1">IF(D46&lt;1,-(D231+D417+D603+D789),-(D231+D417+'3. General Model Inputs'!$D$53*D603+D789)/D46)</f>
        <v>0</v>
      </c>
      <c r="E975" s="30">
        <f ca="1">IF(E46&lt;1,-(E231+E417+E603+E789),-(E231+E417+'3. General Model Inputs'!$D$53*E603+E789)/E46)</f>
        <v>0</v>
      </c>
      <c r="F975" s="30">
        <f ca="1">IF(F46&lt;1,-(F231+F417+F603+F789),-(F231+F417+'3. General Model Inputs'!$D$53*F603+F789)/F46)</f>
        <v>0</v>
      </c>
      <c r="G975" s="30">
        <f ca="1">IF(G46&lt;1,-(G231+G417+G603+G789),-(G231+G417+'3. General Model Inputs'!$D$53*G603+G789)/G46)</f>
        <v>-56920.402499999997</v>
      </c>
      <c r="H975" s="30">
        <f ca="1">IF(H46&lt;1,-(H231+H417+H603+H789),-(H231+H417+'3. General Model Inputs'!$D$53*H603+H789)/H46)</f>
        <v>-117226.5875625</v>
      </c>
    </row>
    <row r="976" spans="2:8">
      <c r="B976" s="152">
        <f t="shared" si="212"/>
        <v>0</v>
      </c>
      <c r="D976" s="30">
        <f ca="1">IF(D47&lt;1,-(D232+D418+D604+D790),-(D232+D418+'3. General Model Inputs'!$D$53*D604+D790)/D47)</f>
        <v>0</v>
      </c>
      <c r="E976" s="30">
        <f ca="1">IF(E47&lt;1,-(E232+E418+E604+E790),-(E232+E418+'3. General Model Inputs'!$D$53*E604+E790)/E47)</f>
        <v>0</v>
      </c>
      <c r="F976" s="30">
        <f ca="1">IF(F47&lt;1,-(F232+F418+F604+F790),-(F232+F418+'3. General Model Inputs'!$D$53*F604+F790)/F47)</f>
        <v>0</v>
      </c>
      <c r="G976" s="30">
        <f ca="1">IF(G47&lt;1,-(G232+G418+G604+G790),-(G232+G418+'3. General Model Inputs'!$D$53*G604+G790)/G47)</f>
        <v>0</v>
      </c>
      <c r="H976" s="30">
        <f ca="1">IF(H47&lt;1,-(H232+H418+H604+H790),-(H232+H418+'3. General Model Inputs'!$D$53*H604+H790)/H47)</f>
        <v>-58579.108749999999</v>
      </c>
    </row>
    <row r="977" spans="2:8">
      <c r="B977" s="152">
        <f t="shared" si="212"/>
        <v>0</v>
      </c>
      <c r="D977" s="30">
        <f ca="1">IF(D48&lt;1,-(D233+D419+D605+D791),-(D233+D419+'3. General Model Inputs'!$D$53*D605+D791)/D48)</f>
        <v>0</v>
      </c>
      <c r="E977" s="30">
        <f ca="1">IF(E48&lt;1,-(E233+E419+E605+E791),-(E233+E419+'3. General Model Inputs'!$D$53*E605+E791)/E48)</f>
        <v>0</v>
      </c>
      <c r="F977" s="30">
        <f ca="1">IF(F48&lt;1,-(F233+F419+F605+F791),-(F233+F419+'3. General Model Inputs'!$D$53*F605+F791)/F48)</f>
        <v>-20160.455937500003</v>
      </c>
      <c r="G977" s="30">
        <f ca="1">IF(G48&lt;1,-(G233+G419+G605+G791),-(G233+G419+'3. General Model Inputs'!$D$53*G605+G791)/G48)</f>
        <v>-41080.11891821598</v>
      </c>
      <c r="H977" s="30">
        <f ca="1">IF(H48&lt;1,-(H233+H419+H605+H791),-(H233+H419+'3. General Model Inputs'!$D$53*H605+H791)/H48)</f>
        <v>-42107.12189117138</v>
      </c>
    </row>
    <row r="978" spans="2:8">
      <c r="B978" s="152">
        <f t="shared" si="212"/>
        <v>0</v>
      </c>
      <c r="D978" s="30">
        <f ca="1">IF(D49&lt;1,-(D234+D420+D606+D792),-(D234+D420+'3. General Model Inputs'!$D$53*D606+D792)/D49)</f>
        <v>0</v>
      </c>
      <c r="E978" s="30">
        <f ca="1">IF(E49&lt;1,-(E234+E420+E606+E792),-(E234+E420+'3. General Model Inputs'!$D$53*E606+E792)/E49)</f>
        <v>0</v>
      </c>
      <c r="F978" s="30">
        <f ca="1">IF(F49&lt;1,-(F234+F420+F606+F792),-(F234+F420+'3. General Model Inputs'!$D$53*F606+F792)/F49)</f>
        <v>0</v>
      </c>
      <c r="G978" s="30">
        <f ca="1">IF(G49&lt;1,-(G234+G420+G606+G792),-(G234+G420+'3. General Model Inputs'!$D$53*G606+G792)/G49)</f>
        <v>-17624.810937499999</v>
      </c>
      <c r="H978" s="30">
        <f ca="1">IF(H49&lt;1,-(H234+H420+H606+H792),-(H234+H420+'3. General Model Inputs'!$D$53*H606+H792)/H49)</f>
        <v>-35913.34102106408</v>
      </c>
    </row>
    <row r="979" spans="2:8">
      <c r="B979" s="152">
        <f t="shared" si="212"/>
        <v>0</v>
      </c>
      <c r="D979" s="30">
        <f ca="1">IF(D50&lt;1,-(D235+D421+D607+D793),-(D235+D421+'3. General Model Inputs'!$D$53*D607+D793)/D50)</f>
        <v>0</v>
      </c>
      <c r="E979" s="30">
        <f ca="1">IF(E50&lt;1,-(E235+E421+E607+E793),-(E235+E421+'3. General Model Inputs'!$D$53*E607+E793)/E50)</f>
        <v>0</v>
      </c>
      <c r="F979" s="30">
        <f ca="1">IF(F50&lt;1,-(F235+F421+F607+F793),-(F235+F421+'3. General Model Inputs'!$D$53*F607+F793)/F50)</f>
        <v>0</v>
      </c>
      <c r="G979" s="30">
        <f ca="1">IF(G50&lt;1,-(G235+G421+G607+G793),-(G235+G421+'3. General Model Inputs'!$D$53*G607+G793)/G50)</f>
        <v>0</v>
      </c>
      <c r="H979" s="30">
        <f ca="1">IF(H50&lt;1,-(H235+H421+H607+H793),-(H235+H421+'3. General Model Inputs'!$D$53*H607+H793)/H50)</f>
        <v>-8335.0181249999987</v>
      </c>
    </row>
    <row r="980" spans="2:8">
      <c r="B980" s="152">
        <f t="shared" si="212"/>
        <v>0</v>
      </c>
      <c r="D980" s="30">
        <f ca="1">IF(D51&lt;1,-(D236+D422+D608+D794),-(D236+D422+'3. General Model Inputs'!$D$53*D608+D794)/D51)</f>
        <v>0</v>
      </c>
      <c r="E980" s="30">
        <f ca="1">IF(E51&lt;1,-(E236+E422+E608+E794),-(E236+E422+'3. General Model Inputs'!$D$53*E608+E794)/E51)</f>
        <v>-2562.5</v>
      </c>
      <c r="F980" s="30">
        <f ca="1">IF(F51&lt;1,-(F236+F422+F608+F794),-(F236+F422+'3. General Model Inputs'!$D$53*F608+F794)/F51)</f>
        <v>-5254.7676282051279</v>
      </c>
      <c r="G980" s="30">
        <f ca="1">IF(G51&lt;1,-(G236+G422+G608+G794),-(G236+G422+'3. General Model Inputs'!$D$53*G608+G794)/G51)</f>
        <v>-5386.1368189102568</v>
      </c>
      <c r="H980" s="30">
        <f ca="1">IF(H51&lt;1,-(H236+H422+H608+H794),-(H236+H422+'3. General Model Inputs'!$D$53*H608+H794)/H51)</f>
        <v>-5520.7902393830136</v>
      </c>
    </row>
    <row r="981" spans="2:8">
      <c r="B981" s="152">
        <f t="shared" si="212"/>
        <v>0</v>
      </c>
      <c r="D981" s="30">
        <f ca="1">IF(D52&lt;1,-(D237+D423+D609+D795),-(D237+D423+'3. General Model Inputs'!$D$53*D609+D795)/D52)</f>
        <v>0</v>
      </c>
      <c r="E981" s="30">
        <f ca="1">IF(E52&lt;1,-(E237+E423+E609+E795),-(E237+E423+'3. General Model Inputs'!$D$53*E609+E795)/E52)</f>
        <v>0</v>
      </c>
      <c r="F981" s="30">
        <f ca="1">IF(F52&lt;1,-(F237+F423+F609+F795),-(F237+F423+'3. General Model Inputs'!$D$53*F609+F795)/F52)</f>
        <v>-7818.0465624999997</v>
      </c>
      <c r="G981" s="30">
        <f ca="1">IF(G52&lt;1,-(G237+G423+G609+G795),-(G237+G423+'3. General Model Inputs'!$D$53*G609+G795)/G52)</f>
        <v>-16032.007021434294</v>
      </c>
      <c r="H981" s="30">
        <f ca="1">IF(H52&lt;1,-(H237+H423+H609+H795),-(H237+H423+'3. General Model Inputs'!$D$53*H609+H795)/H52)</f>
        <v>-16432.807196970152</v>
      </c>
    </row>
    <row r="982" spans="2:8">
      <c r="B982" s="152">
        <f t="shared" si="212"/>
        <v>0</v>
      </c>
      <c r="D982" s="30">
        <f ca="1">IF(D53&lt;1,-(D238+D424+D610+D796),-(D238+D424+'3. General Model Inputs'!$D$53*D610+D796)/D53)</f>
        <v>0</v>
      </c>
      <c r="E982" s="30">
        <f ca="1">IF(E53&lt;1,-(E238+E424+E610+E796),-(E238+E424+'3. General Model Inputs'!$D$53*E610+E796)/E53)</f>
        <v>0</v>
      </c>
      <c r="F982" s="30">
        <f ca="1">IF(F53&lt;1,-(F238+F424+F610+F796),-(F238+F424+'3. General Model Inputs'!$D$53*F610+F796)/F53)</f>
        <v>0</v>
      </c>
      <c r="G982" s="30">
        <f ca="1">IF(G53&lt;1,-(G238+G424+G610+G796),-(G238+G424+'3. General Model Inputs'!$D$53*G610+G796)/G53)</f>
        <v>-30559.145</v>
      </c>
      <c r="H982" s="30">
        <f ca="1">IF(H53&lt;1,-(H238+H424+H610+H796),-(H238+H424+'3. General Model Inputs'!$D$53*H610+H796)/H53)</f>
        <v>-62665.83644551281</v>
      </c>
    </row>
    <row r="983" spans="2:8">
      <c r="B983" s="152">
        <f t="shared" si="212"/>
        <v>0</v>
      </c>
      <c r="D983" s="30">
        <f ca="1">IF(D54&lt;1,-(D239+D425+D611+D797),-(D239+D425+'3. General Model Inputs'!$D$53*D611+D797)/D54)</f>
        <v>0</v>
      </c>
      <c r="E983" s="30">
        <f ca="1">IF(E54&lt;1,-(E239+E425+E611+E797),-(E239+E425+'3. General Model Inputs'!$D$53*E611+E797)/E54)</f>
        <v>0</v>
      </c>
      <c r="F983" s="30">
        <f ca="1">IF(F54&lt;1,-(F239+F425+F611+F797),-(F239+F425+'3. General Model Inputs'!$D$53*F611+F797)/F54)</f>
        <v>0</v>
      </c>
      <c r="G983" s="30">
        <f ca="1">IF(G54&lt;1,-(G239+G425+G611+G797),-(G239+G425+'3. General Model Inputs'!$D$53*G611+G797)/G54)</f>
        <v>0</v>
      </c>
      <c r="H983" s="30">
        <f ca="1">IF(H54&lt;1,-(H239+H425+H611+H797),-(H239+H425+'3. General Model Inputs'!$D$53*H611+H797)/H54)</f>
        <v>-43934.331562499996</v>
      </c>
    </row>
    <row r="984" spans="2:8">
      <c r="B984" s="152">
        <f t="shared" si="212"/>
        <v>0</v>
      </c>
      <c r="D984" s="30">
        <f ca="1">IF(D55&lt;1,-(D240+D426+D612+D798),-(D240+D426+'3. General Model Inputs'!$D$53*D612+D798)/D55)</f>
        <v>-55231.788082499996</v>
      </c>
      <c r="E984" s="30">
        <f ca="1">IF(E55&lt;1,-(E240+E426+E612+E798),-(E240+E426+'3. General Model Inputs'!$D$53*E612+E798)/E55)</f>
        <v>-112971.55021568494</v>
      </c>
      <c r="F984" s="30">
        <f ca="1">IF(F55&lt;1,-(F240+F426+F612+F798),-(F240+F426+'3. General Model Inputs'!$D$53*F612+F798)/F55)</f>
        <v>-115795.83897107707</v>
      </c>
      <c r="G984" s="30">
        <f ca="1">IF(G55&lt;1,-(G240+G426+G612+G798),-(G240+G426+'3. General Model Inputs'!$D$53*G612+G798)/G55)</f>
        <v>-118690.73494535399</v>
      </c>
      <c r="H984" s="30">
        <f ca="1">IF(H55&lt;1,-(H240+H426+H612+H798),-(H240+H426+'3. General Model Inputs'!$D$53*H612+H798)/H55)</f>
        <v>-121658.00331898784</v>
      </c>
    </row>
    <row r="985" spans="2:8">
      <c r="B985" s="152">
        <f t="shared" si="212"/>
        <v>0</v>
      </c>
      <c r="D985" s="30">
        <f ca="1">IF(D56&lt;1,-(D241+D427+D613+D799),-(D241+D427+'3. General Model Inputs'!$D$53*D613+D799)/D56)</f>
        <v>0</v>
      </c>
      <c r="E985" s="30">
        <f ca="1">IF(E56&lt;1,-(E241+E427+E613+E799),-(E241+E427+'3. General Model Inputs'!$D$53*E613+E799)/E56)</f>
        <v>-8698.6635249999999</v>
      </c>
      <c r="F985" s="30">
        <f ca="1">IF(F56&lt;1,-(F241+F427+F613+F799),-(F241+F427+'3. General Model Inputs'!$D$53*F613+F799)/F56)</f>
        <v>-17792.317383533165</v>
      </c>
      <c r="G985" s="30">
        <f ca="1">IF(G56&lt;1,-(G241+G427+G613+G799),-(G241+G427+'3. General Model Inputs'!$D$53*G613+G799)/G56)</f>
        <v>-18237.125318121496</v>
      </c>
      <c r="H985" s="30">
        <f ca="1">IF(H56&lt;1,-(H241+H427+H613+H799),-(H241+H427+'3. General Model Inputs'!$D$53*H613+H799)/H56)</f>
        <v>-18693.053451074531</v>
      </c>
    </row>
    <row r="986" spans="2:8">
      <c r="B986" s="152">
        <f t="shared" si="212"/>
        <v>0</v>
      </c>
      <c r="D986" s="30">
        <f ca="1">IF(D57&lt;1,-(D242+D428+D614+D800),-(D242+D428+'3. General Model Inputs'!$D$53*D614+D800)/D57)</f>
        <v>-38594.723084375008</v>
      </c>
      <c r="E986" s="30">
        <f ca="1">IF(E57&lt;1,-(E242+E428+E614+E800),-(E242+E428+'3. General Model Inputs'!$D$53*E614+E800)/E57)</f>
        <v>-78642.855044395765</v>
      </c>
      <c r="F986" s="30">
        <f ca="1">IF(F57&lt;1,-(F242+F428+F614+F800),-(F242+F428+'3. General Model Inputs'!$D$53*F614+F800)/F57)</f>
        <v>-80608.926420505653</v>
      </c>
      <c r="G986" s="30">
        <f ca="1">IF(G57&lt;1,-(G242+G428+G614+G800),-(G242+G428+'3. General Model Inputs'!$D$53*G614+G800)/G57)</f>
        <v>-82624.149581018297</v>
      </c>
      <c r="H986" s="30">
        <f ca="1">IF(H57&lt;1,-(H242+H428+H614+H800),-(H242+H428+'3. General Model Inputs'!$D$53*H614+H800)/H57)</f>
        <v>-84689.75332054375</v>
      </c>
    </row>
    <row r="987" spans="2:8">
      <c r="B987" s="152">
        <f t="shared" si="212"/>
        <v>0</v>
      </c>
      <c r="D987" s="30">
        <f ca="1">IF(D58&lt;1,-(D243+D429+D615+D801),-(D243+D429+'3. General Model Inputs'!$D$53*D615+D801)/D58)</f>
        <v>0</v>
      </c>
      <c r="E987" s="30">
        <f ca="1">IF(E58&lt;1,-(E243+E429+E615+E801),-(E243+E429+'3. General Model Inputs'!$D$53*E615+E801)/E58)</f>
        <v>-1124.4034749999996</v>
      </c>
      <c r="F987" s="30">
        <f ca="1">IF(F58&lt;1,-(F243+F429+F615+F801),-(F243+F429+'3. General Model Inputs'!$D$53*F615+F801)/F58)</f>
        <v>-2291.1499922547464</v>
      </c>
      <c r="G987" s="30">
        <f ca="1">IF(G58&lt;1,-(G243+G429+G615+G801),-(G243+G429+'3. General Model Inputs'!$D$53*G615+G801)/G58)</f>
        <v>-2348.4287420611154</v>
      </c>
      <c r="H987" s="30">
        <f ca="1">IF(H58&lt;1,-(H243+H429+H615+H801),-(H243+H429+'3. General Model Inputs'!$D$53*H615+H801)/H58)</f>
        <v>-2407.1394606126432</v>
      </c>
    </row>
    <row r="988" spans="2:8">
      <c r="B988" s="152">
        <f t="shared" si="212"/>
        <v>0</v>
      </c>
      <c r="D988" s="30">
        <f ca="1">IF(D59&lt;1,-(D244+D430+D616+D802),-(D244+D430+'3. General Model Inputs'!$D$53*D616+D802)/D59)</f>
        <v>0</v>
      </c>
      <c r="E988" s="30">
        <f ca="1">IF(E59&lt;1,-(E244+E430+E616+E802),-(E244+E430+'3. General Model Inputs'!$D$53*E616+E802)/E59)</f>
        <v>0</v>
      </c>
      <c r="F988" s="30">
        <f ca="1">IF(F59&lt;1,-(F244+F430+F616+F802),-(F244+F430+'3. General Model Inputs'!$D$53*F616+F802)/F59)</f>
        <v>0</v>
      </c>
      <c r="G988" s="30">
        <f ca="1">IF(G59&lt;1,-(G244+G430+G616+G802),-(G244+G430+'3. General Model Inputs'!$D$53*G616+G802)/G59)</f>
        <v>-9486.7337500000012</v>
      </c>
      <c r="H988" s="30">
        <f ca="1">IF(H59&lt;1,-(H244+H430+H616+H802),-(H244+H430+'3. General Model Inputs'!$D$53*H616+H802)/H59)</f>
        <v>-19371.427941207628</v>
      </c>
    </row>
    <row r="989" spans="2:8">
      <c r="B989" s="152">
        <f t="shared" si="212"/>
        <v>0</v>
      </c>
      <c r="D989" s="30">
        <f ca="1">IF(D60&lt;1,-(D245+D431+D617+D803),-(D245+D431+'3. General Model Inputs'!$D$53*D617+D803)/D60)</f>
        <v>0</v>
      </c>
      <c r="E989" s="30">
        <f ca="1">IF(E60&lt;1,-(E245+E431+E617+E803),-(E245+E431+'3. General Model Inputs'!$D$53*E617+E803)/E60)</f>
        <v>0</v>
      </c>
      <c r="F989" s="30">
        <f ca="1">IF(F60&lt;1,-(F245+F431+F617+F803),-(F245+F431+'3. General Model Inputs'!$D$53*F617+F803)/F60)</f>
        <v>0</v>
      </c>
      <c r="G989" s="30">
        <f ca="1">IF(G60&lt;1,-(G245+G431+G617+G803),-(G245+G431+'3. General Model Inputs'!$D$53*G617+G803)/G60)</f>
        <v>0</v>
      </c>
      <c r="H989" s="30">
        <f ca="1">IF(H60&lt;1,-(H245+H431+H617+H803),-(H245+H431+'3. General Model Inputs'!$D$53*H617+H803)/H60)</f>
        <v>-39418.860625000001</v>
      </c>
    </row>
    <row r="990" spans="2:8">
      <c r="B990" s="152">
        <f t="shared" si="212"/>
        <v>0</v>
      </c>
      <c r="D990" s="30">
        <f ca="1">IF(D61&lt;1,-(D246+D432+D618+D804),-(D246+D432+'3. General Model Inputs'!$D$53*D618+D804)/D61)</f>
        <v>0</v>
      </c>
      <c r="E990" s="30">
        <f ca="1">IF(E61&lt;1,-(E246+E432+E618+E804),-(E246+E432+'3. General Model Inputs'!$D$53*E618+E804)/E61)</f>
        <v>0</v>
      </c>
      <c r="F990" s="30">
        <f ca="1">IF(F61&lt;1,-(F246+F432+F618+F804),-(F246+F432+'3. General Model Inputs'!$D$53*F618+F804)/F61)</f>
        <v>-3430.087979650435</v>
      </c>
      <c r="G990" s="30">
        <f ca="1">IF(G61&lt;1,-(G246+G432+G618+G804),-(G246+G432+'3. General Model Inputs'!$D$53*G618+G804)/G61)</f>
        <v>-6989.3469939775796</v>
      </c>
      <c r="H990" s="30">
        <f ca="1">IF(H61&lt;1,-(H246+H432+H618+H804),-(H246+H432+'3. General Model Inputs'!$D$53*H618+H804)/H61)</f>
        <v>-7164.0806688270204</v>
      </c>
    </row>
    <row r="991" spans="2:8">
      <c r="B991" s="152">
        <f t="shared" si="212"/>
        <v>0</v>
      </c>
      <c r="D991" s="30">
        <f ca="1">IF(D62&lt;1,-(D247+D433+D619+D805),-(D247+D433+'3. General Model Inputs'!$D$53*D619+D805)/D62)</f>
        <v>0</v>
      </c>
      <c r="E991" s="30">
        <f ca="1">IF(E62&lt;1,-(E247+E433+E619+E805),-(E247+E433+'3. General Model Inputs'!$D$53*E619+E805)/E62)</f>
        <v>0</v>
      </c>
      <c r="F991" s="30">
        <f ca="1">IF(F62&lt;1,-(F247+F433+F619+F805),-(F247+F433+'3. General Model Inputs'!$D$53*F619+F805)/F62)</f>
        <v>0</v>
      </c>
      <c r="G991" s="30">
        <f ca="1">IF(G62&lt;1,-(G247+G433+G619+G805),-(G247+G433+'3. General Model Inputs'!$D$53*G619+G805)/G62)</f>
        <v>-15042.413454874302</v>
      </c>
      <c r="H991" s="30">
        <f ca="1">IF(H62&lt;1,-(H247+H433+H619+H805),-(H247+H433+'3. General Model Inputs'!$D$53*H619+H805)/H62)</f>
        <v>-30651.297543017605</v>
      </c>
    </row>
    <row r="992" spans="2:8">
      <c r="B992" s="152">
        <f t="shared" si="212"/>
        <v>0</v>
      </c>
      <c r="D992" s="30">
        <f ca="1">IF(D63&lt;1,-(D248+D434+D620+D806),-(D248+D434+'3. General Model Inputs'!$D$53*D620+D806)/D63)</f>
        <v>0</v>
      </c>
      <c r="E992" s="30">
        <f ca="1">IF(E63&lt;1,-(E248+E434+E620+E806),-(E248+E434+'3. General Model Inputs'!$D$53*E620+E806)/E63)</f>
        <v>0</v>
      </c>
      <c r="F992" s="30">
        <f ca="1">IF(F63&lt;1,-(F248+F434+F620+F806),-(F248+F434+'3. General Model Inputs'!$D$53*F620+F806)/F63)</f>
        <v>0</v>
      </c>
      <c r="G992" s="30">
        <f ca="1">IF(G63&lt;1,-(G248+G434+G620+G806),-(G248+G434+'3. General Model Inputs'!$D$53*G620+G806)/G63)</f>
        <v>0</v>
      </c>
      <c r="H992" s="30">
        <f ca="1">IF(H63&lt;1,-(H248+H434+H620+H806),-(H248+H434+'3. General Model Inputs'!$D$53*H620+H806)/H63)</f>
        <v>-15465.587792041106</v>
      </c>
    </row>
    <row r="993" spans="2:8">
      <c r="B993" s="152">
        <f t="shared" si="212"/>
        <v>0</v>
      </c>
      <c r="D993" s="30">
        <f ca="1">IF(D64&lt;1,-(D249+D435+D621+D807),-(D249+D435+'3. General Model Inputs'!$D$53*D621+D807)/D64)</f>
        <v>-7212.5420343750011</v>
      </c>
      <c r="E993" s="30">
        <f ca="1">IF(E64&lt;1,-(E249+E435+E621+E807),-(E249+E435+'3. General Model Inputs'!$D$53*E621+E807)/E64)</f>
        <v>-14790.334594849763</v>
      </c>
      <c r="F993" s="30">
        <f ca="1">IF(F64&lt;1,-(F249+F435+F621+F807),-(F249+F435+'3. General Model Inputs'!$D$53*F621+F807)/F64)</f>
        <v>-15160.092959721009</v>
      </c>
      <c r="G993" s="30">
        <f ca="1">IF(G64&lt;1,-(G249+G435+G621+G807),-(G249+G435+'3. General Model Inputs'!$D$53*G621+G807)/G64)</f>
        <v>-15539.095283714036</v>
      </c>
      <c r="H993" s="30">
        <f ca="1">IF(H64&lt;1,-(H249+H435+H621+H807),-(H249+H435+'3. General Model Inputs'!$D$53*H621+H807)/H64)</f>
        <v>-15927.572665806885</v>
      </c>
    </row>
    <row r="994" spans="2:8">
      <c r="B994" s="152">
        <f t="shared" si="212"/>
        <v>0</v>
      </c>
      <c r="D994" s="30">
        <f ca="1">IF(D65&lt;1,-(D250+D436+D622+D808),-(D250+D436+'3. General Model Inputs'!$D$53*D622+D808)/D65)</f>
        <v>0</v>
      </c>
      <c r="E994" s="30">
        <f ca="1">IF(E65&lt;1,-(E250+E436+E622+E808),-(E250+E436+'3. General Model Inputs'!$D$53*E622+E808)/E65)</f>
        <v>-32868.499981249995</v>
      </c>
      <c r="F994" s="30">
        <f ca="1">IF(F65&lt;1,-(F250+F436+F622+F808),-(F250+F436+'3. General Model Inputs'!$D$53*F622+F808)/F65)</f>
        <v>-67401.49451283252</v>
      </c>
      <c r="G994" s="30">
        <f ca="1">IF(G65&lt;1,-(G250+G436+G622+G808),-(G250+G436+'3. General Model Inputs'!$D$53*G622+G808)/G65)</f>
        <v>-69086.531875653323</v>
      </c>
      <c r="H994" s="30">
        <f ca="1">IF(H65&lt;1,-(H250+H436+H622+H808),-(H250+H436+'3. General Model Inputs'!$D$53*H622+H808)/H65)</f>
        <v>-70813.695172544671</v>
      </c>
    </row>
    <row r="995" spans="2:8">
      <c r="B995" s="152">
        <f t="shared" si="212"/>
        <v>0</v>
      </c>
      <c r="D995" s="30">
        <f ca="1">IF(D66&lt;1,-(D251+D437+D623+D809),-(D251+D437+'3. General Model Inputs'!$D$53*D623+D809)/D66)</f>
        <v>0</v>
      </c>
      <c r="E995" s="30">
        <f ca="1">IF(E66&lt;1,-(E251+E437+E623+E809),-(E251+E437+'3. General Model Inputs'!$D$53*E623+E809)/E66)</f>
        <v>0</v>
      </c>
      <c r="F995" s="30">
        <f ca="1">IF(F66&lt;1,-(F251+F437+F623+F809),-(F251+F437+'3. General Model Inputs'!$D$53*F623+F809)/F66)</f>
        <v>-25759.53125</v>
      </c>
      <c r="G995" s="30">
        <f ca="1">IF(G66&lt;1,-(G251+G437+G623+G809),-(G251+G437+'3. General Model Inputs'!$D$53*G623+G809)/G66)</f>
        <v>-52823.551582532054</v>
      </c>
      <c r="H995" s="30">
        <f ca="1">IF(H66&lt;1,-(H251+H437+H623+H809),-(H251+H437+'3. General Model Inputs'!$D$53*H623+H809)/H66)</f>
        <v>-54144.140372095353</v>
      </c>
    </row>
    <row r="996" spans="2:8">
      <c r="B996" s="152">
        <f t="shared" si="212"/>
        <v>0</v>
      </c>
      <c r="D996" s="30">
        <f ca="1">IF(D67&lt;1,-(D252+D438+D624+D810),-(D252+D438+'3. General Model Inputs'!$D$53*D624+D810)/D67)</f>
        <v>0</v>
      </c>
      <c r="E996" s="30">
        <f ca="1">IF(E67&lt;1,-(E252+E438+E624+E810),-(E252+E438+'3. General Model Inputs'!$D$53*E624+E810)/E67)</f>
        <v>-2562.5</v>
      </c>
      <c r="F996" s="30">
        <f ca="1">IF(F67&lt;1,-(F252+F438+F624+F810),-(F252+F438+'3. General Model Inputs'!$D$53*F624+F810)/F67)</f>
        <v>-5254.7676282051279</v>
      </c>
      <c r="G996" s="30">
        <f ca="1">IF(G67&lt;1,-(G252+G438+G624+G810),-(G252+G438+'3. General Model Inputs'!$D$53*G624+G810)/G67)</f>
        <v>-5386.1368189102568</v>
      </c>
      <c r="H996" s="30">
        <f ca="1">IF(H67&lt;1,-(H252+H438+H624+H810),-(H252+H438+'3. General Model Inputs'!$D$53*H624+H810)/H67)</f>
        <v>-5520.7902393830136</v>
      </c>
    </row>
    <row r="997" spans="2:8">
      <c r="B997" s="152">
        <f t="shared" si="212"/>
        <v>0</v>
      </c>
      <c r="D997" s="30">
        <f ca="1">IF(D68&lt;1,-(D253+D439+D625+D811),-(D253+D439+'3. General Model Inputs'!$D$53*D625+D811)/D68)</f>
        <v>0</v>
      </c>
      <c r="E997" s="30">
        <f ca="1">IF(E68&lt;1,-(E253+E439+E625+E811),-(E253+E439+'3. General Model Inputs'!$D$53*E625+E811)/E68)</f>
        <v>0</v>
      </c>
      <c r="F997" s="30">
        <f ca="1">IF(F68&lt;1,-(F253+F439+F625+F811),-(F253+F439+'3. General Model Inputs'!$D$53*F625+F811)/F68)</f>
        <v>-30116.819062499999</v>
      </c>
      <c r="G997" s="30">
        <f ca="1">IF(G68&lt;1,-(G253+G439+G625+G811),-(G253+G439+'3. General Model Inputs'!$D$53*G625+G811)/G68)</f>
        <v>-61758.784731370193</v>
      </c>
      <c r="H997" s="30">
        <f ca="1">IF(H68&lt;1,-(H253+H439+H625+H811),-(H253+H439+'3. General Model Inputs'!$D$53*H625+H811)/H68)</f>
        <v>-63302.754349654446</v>
      </c>
    </row>
    <row r="998" spans="2:8">
      <c r="B998" s="152">
        <f t="shared" si="212"/>
        <v>0</v>
      </c>
      <c r="D998" s="30">
        <f ca="1">IF(D69&lt;1,-(D254+D440+D626+D812),-(D254+D440+'3. General Model Inputs'!$D$53*D626+D812)/D69)</f>
        <v>0</v>
      </c>
      <c r="E998" s="30">
        <f ca="1">IF(E69&lt;1,-(E254+E440+E626+E812),-(E254+E440+'3. General Model Inputs'!$D$53*E626+E812)/E69)</f>
        <v>0</v>
      </c>
      <c r="F998" s="30">
        <f ca="1">IF(F69&lt;1,-(F254+F440+F626+F812),-(F254+F440+'3. General Model Inputs'!$D$53*F626+F812)/F69)</f>
        <v>0</v>
      </c>
      <c r="G998" s="30">
        <f ca="1">IF(G69&lt;1,-(G254+G440+G626+G812),-(G254+G440+'3. General Model Inputs'!$D$53*G626+G812)/G69)</f>
        <v>-27933.991875</v>
      </c>
      <c r="H998" s="30">
        <f ca="1">IF(H69&lt;1,-(H254+H440+H626+H812),-(H254+H440+'3. General Model Inputs'!$D$53*H626+H812)/H69)</f>
        <v>-57282.589748798084</v>
      </c>
    </row>
    <row r="999" spans="2:8">
      <c r="B999" s="152">
        <f t="shared" si="212"/>
        <v>0</v>
      </c>
      <c r="D999" s="30">
        <f ca="1">IF(D70&lt;1,-(D255+D441+D627+D813),-(D255+D441+'3. General Model Inputs'!$D$53*D627+D813)/D70)</f>
        <v>0</v>
      </c>
      <c r="E999" s="30">
        <f ca="1">IF(E70&lt;1,-(E255+E441+E627+E813),-(E255+E441+'3. General Model Inputs'!$D$53*E627+E813)/E70)</f>
        <v>-2562.5</v>
      </c>
      <c r="F999" s="30">
        <f ca="1">IF(F70&lt;1,-(F255+F441+F627+F813),-(F255+F441+'3. General Model Inputs'!$D$53*F627+F813)/F70)</f>
        <v>-5254.7676282051279</v>
      </c>
      <c r="G999" s="30">
        <f ca="1">IF(G70&lt;1,-(G255+G441+G627+G813),-(G255+G441+'3. General Model Inputs'!$D$53*G627+G813)/G70)</f>
        <v>-5386.1368189102568</v>
      </c>
      <c r="H999" s="30">
        <f ca="1">IF(H70&lt;1,-(H255+H441+H627+H813),-(H255+H441+'3. General Model Inputs'!$D$53*H627+H813)/H70)</f>
        <v>-5520.7902393830136</v>
      </c>
    </row>
    <row r="1000" spans="2:8">
      <c r="B1000" s="152">
        <f t="shared" si="212"/>
        <v>0</v>
      </c>
      <c r="D1000" s="30">
        <f ca="1">IF(D71&lt;1,-(D256+D442+D628+D814),-(D256+D442+'3. General Model Inputs'!$D$53*D628+D814)/D71)</f>
        <v>0</v>
      </c>
      <c r="E1000" s="30">
        <f ca="1">IF(E71&lt;1,-(E256+E442+E628+E814),-(E256+E442+'3. General Model Inputs'!$D$53*E628+E814)/E71)</f>
        <v>0</v>
      </c>
      <c r="F1000" s="30">
        <f ca="1">IF(F71&lt;1,-(F256+F442+F628+F814),-(F256+F442+'3. General Model Inputs'!$D$53*F628+F814)/F71)</f>
        <v>-31691.795624999999</v>
      </c>
      <c r="G1000" s="30">
        <f ca="1">IF(G71&lt;1,-(G256+G442+G628+G814),-(G256+G442+'3. General Model Inputs'!$D$53*G628+G814)/G71)</f>
        <v>-64988.49628485577</v>
      </c>
      <c r="H1000" s="30">
        <f ca="1">IF(H71&lt;1,-(H256+H442+H628+H814),-(H256+H442+'3. General Model Inputs'!$D$53*H628+H814)/H71)</f>
        <v>-66613.208691977154</v>
      </c>
    </row>
    <row r="1001" spans="2:8">
      <c r="B1001" s="152">
        <f t="shared" si="212"/>
        <v>0</v>
      </c>
      <c r="D1001" s="30">
        <f ca="1">IF(D72&lt;1,-(D257+D443+D629+D815),-(D257+D443+'3. General Model Inputs'!$D$53*D629+D815)/D72)</f>
        <v>0</v>
      </c>
      <c r="E1001" s="30">
        <f ca="1">IF(E72&lt;1,-(E257+E443+E629+E815),-(E257+E443+'3. General Model Inputs'!$D$53*E629+E815)/E72)</f>
        <v>0</v>
      </c>
      <c r="F1001" s="30">
        <f ca="1">IF(F72&lt;1,-(F257+F443+F629+F815),-(F257+F443+'3. General Model Inputs'!$D$53*F629+F815)/F72)</f>
        <v>0</v>
      </c>
      <c r="G1001" s="30">
        <f ca="1">IF(G72&lt;1,-(G257+G443+G629+G815),-(G257+G443+'3. General Model Inputs'!$D$53*G629+G815)/G72)</f>
        <v>-17787.632187499999</v>
      </c>
      <c r="H1001" s="30">
        <f ca="1">IF(H72&lt;1,-(H257+H443+H629+H815),-(H257+H443+'3. General Model Inputs'!$D$53*H629+H815)/H72)</f>
        <v>-36476.048312700317</v>
      </c>
    </row>
    <row r="1002" spans="2:8">
      <c r="B1002" s="152">
        <f t="shared" si="212"/>
        <v>0</v>
      </c>
      <c r="D1002" s="30">
        <f ca="1">IF(D73&lt;1,-(D258+D444+D630+D816),-(D258+D444+'3. General Model Inputs'!$D$53*D630+D816)/D73)</f>
        <v>0</v>
      </c>
      <c r="E1002" s="30">
        <f ca="1">IF(E73&lt;1,-(E258+E444+E630+E816),-(E258+E444+'3. General Model Inputs'!$D$53*E630+E816)/E73)</f>
        <v>0</v>
      </c>
      <c r="F1002" s="30">
        <f ca="1">IF(F73&lt;1,-(F258+F444+F630+F816),-(F258+F444+'3. General Model Inputs'!$D$53*F630+F816)/F73)</f>
        <v>-2378.8712500000001</v>
      </c>
      <c r="G1002" s="30">
        <f ca="1">IF(G73&lt;1,-(G258+G444+G630+G816),-(G258+G444+'3. General Model Inputs'!$D$53*G630+G816)/G73)</f>
        <v>-4878.2109799679492</v>
      </c>
      <c r="H1002" s="30">
        <f ca="1">IF(H73&lt;1,-(H258+H444+H630+H816),-(H258+H444+'3. General Model Inputs'!$D$53*H630+H816)/H73)</f>
        <v>-5000.1662544671472</v>
      </c>
    </row>
    <row r="1003" spans="2:8">
      <c r="B1003" s="152">
        <f t="shared" si="212"/>
        <v>0</v>
      </c>
      <c r="D1003" s="30">
        <f ca="1">IF(D74&lt;1,-(D259+D445+D631+D817),-(D259+D445+'3. General Model Inputs'!$D$53*D631+D817)/D74)</f>
        <v>0</v>
      </c>
      <c r="E1003" s="30">
        <f ca="1">IF(E74&lt;1,-(E259+E445+E631+E817),-(E259+E445+'3. General Model Inputs'!$D$53*E631+E817)/E74)</f>
        <v>0</v>
      </c>
      <c r="F1003" s="30">
        <f ca="1">IF(F74&lt;1,-(F259+F445+F631+F817),-(F259+F445+'3. General Model Inputs'!$D$53*F631+F817)/F74)</f>
        <v>0</v>
      </c>
      <c r="G1003" s="30">
        <f ca="1">IF(G74&lt;1,-(G259+G445+G631+G817),-(G259+G445+'3. General Model Inputs'!$D$53*G631+G817)/G74)</f>
        <v>-27037.193749999999</v>
      </c>
      <c r="H1003" s="30">
        <f ca="1">IF(H74&lt;1,-(H259+H445+H631+H817),-(H259+H445+'3. General Model Inputs'!$D$53*H631+H817)/H74)</f>
        <v>-55443.57872195512</v>
      </c>
    </row>
    <row r="1004" spans="2:8">
      <c r="B1004" s="152">
        <f t="shared" si="212"/>
        <v>0</v>
      </c>
      <c r="D1004" s="30">
        <f ca="1">IF(D75&lt;1,-(D260+D446+D632+D818),-(D260+D446+'3. General Model Inputs'!$D$53*D632+D818)/D75)</f>
        <v>0</v>
      </c>
      <c r="E1004" s="30">
        <f ca="1">IF(E75&lt;1,-(E260+E446+E632+E818),-(E260+E446+'3. General Model Inputs'!$D$53*E632+E818)/E75)</f>
        <v>0</v>
      </c>
      <c r="F1004" s="30">
        <f ca="1">IF(F75&lt;1,-(F260+F446+F632+F818),-(F260+F446+'3. General Model Inputs'!$D$53*F632+F818)/F75)</f>
        <v>0</v>
      </c>
      <c r="G1004" s="30">
        <f ca="1">IF(G75&lt;1,-(G260+G446+G632+G818),-(G260+G446+'3. General Model Inputs'!$D$53*G632+G818)/G75)</f>
        <v>0</v>
      </c>
      <c r="H1004" s="30">
        <f ca="1">IF(H75&lt;1,-(H260+H446+H632+H818),-(H260+H446+'3. General Model Inputs'!$D$53*H632+H818)/H75)</f>
        <v>-19038.209062500002</v>
      </c>
    </row>
    <row r="1005" spans="2:8">
      <c r="B1005" s="152">
        <f t="shared" si="212"/>
        <v>0</v>
      </c>
      <c r="D1005" s="30">
        <f ca="1">IF(D76&lt;1,-(D261+D447+D633+D819),-(D261+D447+'3. General Model Inputs'!$D$53*D633+D819)/D76)</f>
        <v>-6438.4621625</v>
      </c>
      <c r="E1005" s="30">
        <f ca="1">IF(E76&lt;1,-(E261+E447+E633+E819),-(E261+E447+'3. General Model Inputs'!$D$53*E633+E819)/E76)</f>
        <v>-13119.385400106803</v>
      </c>
      <c r="F1005" s="30">
        <f ca="1">IF(F76&lt;1,-(F261+F447+F633+F819),-(F261+F447+'3. General Model Inputs'!$D$53*F633+F819)/F76)</f>
        <v>-13447.370035109474</v>
      </c>
      <c r="G1005" s="30">
        <f ca="1">IF(G76&lt;1,-(G261+G447+G633+G819),-(G261+G447+'3. General Model Inputs'!$D$53*G633+G819)/G76)</f>
        <v>-13783.554285987211</v>
      </c>
      <c r="H1005" s="30">
        <f ca="1">IF(H76&lt;1,-(H261+H447+H633+H819),-(H261+H447+'3. General Model Inputs'!$D$53*H633+H819)/H76)</f>
        <v>-14128.143143136891</v>
      </c>
    </row>
    <row r="1006" spans="2:8">
      <c r="B1006" s="152">
        <f t="shared" si="212"/>
        <v>0</v>
      </c>
      <c r="D1006" s="30">
        <f ca="1">IF(D77&lt;1,-(D262+D448+D634+D820),-(D262+D448+'3. General Model Inputs'!$D$53*D634+D820)/D77)</f>
        <v>0</v>
      </c>
      <c r="E1006" s="30">
        <f ca="1">IF(E77&lt;1,-(E262+E448+E634+E820),-(E262+E448+'3. General Model Inputs'!$D$53*E634+E820)/E77)</f>
        <v>-12944.2155109375</v>
      </c>
      <c r="F1006" s="30">
        <f ca="1">IF(F77&lt;1,-(F262+F448+F634+F820),-(F262+F448+'3. General Model Inputs'!$D$53*F634+F820)/F77)</f>
        <v>-26375.88723890081</v>
      </c>
      <c r="G1006" s="30">
        <f ca="1">IF(G77&lt;1,-(G262+G448+G634+G820),-(G262+G448+'3. General Model Inputs'!$D$53*G634+G820)/G77)</f>
        <v>-27035.284419873329</v>
      </c>
      <c r="H1006" s="30">
        <f ca="1">IF(H77&lt;1,-(H262+H448+H634+H820),-(H262+H448+'3. General Model Inputs'!$D$53*H634+H820)/H77)</f>
        <v>-27711.166530370163</v>
      </c>
    </row>
    <row r="1007" spans="2:8">
      <c r="B1007" s="152">
        <f t="shared" si="212"/>
        <v>0</v>
      </c>
      <c r="D1007" s="30">
        <f ca="1">IF(D78&lt;1,-(D263+D449+D635+D821),-(D263+D449+'3. General Model Inputs'!$D$53*D635+D821)/D78)</f>
        <v>0</v>
      </c>
      <c r="E1007" s="30">
        <f ca="1">IF(E78&lt;1,-(E263+E449+E635+E821),-(E263+E449+'3. General Model Inputs'!$D$53*E635+E821)/E78)</f>
        <v>0</v>
      </c>
      <c r="F1007" s="30">
        <f ca="1">IF(F78&lt;1,-(F263+F449+F635+F821),-(F263+F449+'3. General Model Inputs'!$D$53*F635+F821)/F78)</f>
        <v>-2119.07859375</v>
      </c>
      <c r="G1007" s="30">
        <f ca="1">IF(G78&lt;1,-(G263+G449+G635+G821),-(G263+G449+'3. General Model Inputs'!$D$53*G635+G821)/G78)</f>
        <v>-4317.9579320114717</v>
      </c>
      <c r="H1007" s="30">
        <f ca="1">IF(H78&lt;1,-(H263+H449+H635+H821),-(H263+H449+'3. General Model Inputs'!$D$53*H635+H821)/H78)</f>
        <v>-4425.9068803117589</v>
      </c>
    </row>
    <row r="1008" spans="2:8">
      <c r="B1008" s="152">
        <f t="shared" si="212"/>
        <v>0</v>
      </c>
      <c r="D1008" s="30">
        <f ca="1">IF(D79&lt;1,-(D264+D450+D636+D822),-(D264+D450+'3. General Model Inputs'!$D$53*D636+D822)/D79)</f>
        <v>-51273.72960416667</v>
      </c>
      <c r="E1008" s="30">
        <f ca="1">IF(E79&lt;1,-(E264+E450+E636+E822),-(E264+E450+'3. General Model Inputs'!$D$53*E636+E822)/E79)</f>
        <v>-105597.3620899605</v>
      </c>
      <c r="F1008" s="30">
        <f ca="1">IF(F79&lt;1,-(F264+F450+F636+F822),-(F264+F450+'3. General Model Inputs'!$D$53*F636+F822)/F79)</f>
        <v>-108237.29614220952</v>
      </c>
      <c r="G1008" s="30">
        <f ca="1">IF(G79&lt;1,-(G264+G450+G636+G822),-(G264+G450+'3. General Model Inputs'!$D$53*G636+G822)/G79)</f>
        <v>-110943.22854576477</v>
      </c>
      <c r="H1008" s="30">
        <f ca="1">IF(H79&lt;1,-(H264+H450+H636+H822),-(H264+H450+'3. General Model Inputs'!$D$53*H636+H822)/H79)</f>
        <v>-113716.80925940888</v>
      </c>
    </row>
    <row r="1009" spans="2:8">
      <c r="B1009" s="152">
        <f t="shared" si="212"/>
        <v>0</v>
      </c>
      <c r="D1009" s="30">
        <f ca="1">IF(D80&lt;1,-(D265+D451+D637+D823),-(D265+D451+'3. General Model Inputs'!$D$53*D637+D823)/D80)</f>
        <v>0</v>
      </c>
      <c r="E1009" s="30">
        <f ca="1">IF(E80&lt;1,-(E265+E451+E637+E823),-(E265+E451+'3. General Model Inputs'!$D$53*E637+E823)/E80)</f>
        <v>-1374.7120625</v>
      </c>
      <c r="F1009" s="30">
        <f ca="1">IF(F80&lt;1,-(F265+F451+F637+F823),-(F265+F451+'3. General Model Inputs'!$D$53*F637+F823)/F80)</f>
        <v>-2831.1957907866386</v>
      </c>
      <c r="G1009" s="30">
        <f ca="1">IF(G80&lt;1,-(G265+G451+G637+G823),-(G265+G451+'3. General Model Inputs'!$D$53*G637+G823)/G80)</f>
        <v>-2901.9756855563037</v>
      </c>
      <c r="H1009" s="30">
        <f ca="1">IF(H80&lt;1,-(H265+H451+H637+H823),-(H265+H451+'3. General Model Inputs'!$D$53*H637+H823)/H80)</f>
        <v>-2974.5250776952112</v>
      </c>
    </row>
    <row r="1010" spans="2:8">
      <c r="B1010" s="152">
        <f t="shared" si="212"/>
        <v>0</v>
      </c>
      <c r="D1010" s="30">
        <f ca="1">IF(D81&lt;1,-(D266+D452+D638+D824),-(D266+D452+'3. General Model Inputs'!$D$53*D638+D824)/D81)</f>
        <v>-3288.4430274999995</v>
      </c>
      <c r="E1010" s="30">
        <f ca="1">IF(E81&lt;1,-(E266+E452+E638+E824),-(E266+E452+'3. General Model Inputs'!$D$53*E638+E824)/E81)</f>
        <v>-6726.2082128813763</v>
      </c>
      <c r="F1010" s="30">
        <f ca="1">IF(F81&lt;1,-(F266+F452+F638+F824),-(F266+F452+'3. General Model Inputs'!$D$53*F638+F824)/F81)</f>
        <v>-6894.3634182034111</v>
      </c>
      <c r="G1010" s="30">
        <f ca="1">IF(G81&lt;1,-(G266+G452+G638+G824),-(G266+G452+'3. General Model Inputs'!$D$53*G638+G824)/G81)</f>
        <v>-7066.722503658496</v>
      </c>
      <c r="H1010" s="30">
        <f ca="1">IF(H81&lt;1,-(H266+H452+H638+H824),-(H266+H452+'3. General Model Inputs'!$D$53*H638+H824)/H81)</f>
        <v>-7243.3905662499574</v>
      </c>
    </row>
    <row r="1011" spans="2:8">
      <c r="B1011" s="152">
        <f t="shared" si="212"/>
        <v>0</v>
      </c>
      <c r="D1011" s="30">
        <f ca="1">IF(D82&lt;1,-(D267+D453+D639+D825),-(D267+D453+'3. General Model Inputs'!$D$53*D639+D825)/D82)</f>
        <v>0</v>
      </c>
      <c r="E1011" s="30">
        <f ca="1">IF(E82&lt;1,-(E267+E453+E639+E825),-(E267+E453+'3. General Model Inputs'!$D$53*E639+E825)/E82)</f>
        <v>-18374.334295000001</v>
      </c>
      <c r="F1011" s="30">
        <f ca="1">IF(F82&lt;1,-(F267+F453+F639+F825),-(F267+F453+'3. General Model Inputs'!$D$53*F639+F825)/F82)</f>
        <v>-37583.013361558675</v>
      </c>
      <c r="G1011" s="30">
        <f ca="1">IF(G82&lt;1,-(G267+G453+G639+G825),-(G267+G453+'3. General Model Inputs'!$D$53*G639+G825)/G82)</f>
        <v>-38522.588695597638</v>
      </c>
      <c r="H1011" s="30">
        <f ca="1">IF(H82&lt;1,-(H267+H453+H639+H825),-(H267+H453+'3. General Model Inputs'!$D$53*H639+H825)/H82)</f>
        <v>-39485.65341298758</v>
      </c>
    </row>
    <row r="1012" spans="2:8">
      <c r="B1012" s="152">
        <f t="shared" si="212"/>
        <v>0</v>
      </c>
      <c r="D1012" s="30">
        <f ca="1">IF(D83&lt;1,-(D268+D454+D640+D826),-(D268+D454+'3. General Model Inputs'!$D$53*D640+D826)/D83)</f>
        <v>0</v>
      </c>
      <c r="E1012" s="30">
        <f ca="1">IF(E83&lt;1,-(E268+E454+E640+E826),-(E268+E454+'3. General Model Inputs'!$D$53*E640+E826)/E83)</f>
        <v>0</v>
      </c>
      <c r="F1012" s="30">
        <f ca="1">IF(F83&lt;1,-(F268+F454+F640+F826),-(F268+F454+'3. General Model Inputs'!$D$53*F640+F826)/F83)</f>
        <v>-512.5</v>
      </c>
      <c r="G1012" s="30">
        <f ca="1">IF(G83&lt;1,-(G268+G454+G640+G826),-(G268+G454+'3. General Model Inputs'!$D$53*G640+G826)/G83)</f>
        <v>-1048.2716836734694</v>
      </c>
      <c r="H1012" s="30">
        <f ca="1">IF(H83&lt;1,-(H268+H454+H640+H826),-(H268+H454+'3. General Model Inputs'!$D$53*H640+H826)/H83)</f>
        <v>-1074.4784757653063</v>
      </c>
    </row>
    <row r="1013" spans="2:8">
      <c r="B1013" s="152">
        <f t="shared" si="212"/>
        <v>0</v>
      </c>
      <c r="D1013" s="30">
        <f ca="1">IF(D84&lt;1,-(D269+D455+D641+D827),-(D269+D455+'3. General Model Inputs'!$D$53*D641+D827)/D84)</f>
        <v>0</v>
      </c>
      <c r="E1013" s="30">
        <f ca="1">IF(E84&lt;1,-(E269+E455+E641+E827),-(E269+E455+'3. General Model Inputs'!$D$53*E641+E827)/E84)</f>
        <v>0</v>
      </c>
      <c r="F1013" s="30">
        <f ca="1">IF(F84&lt;1,-(F269+F455+F641+F827),-(F269+F455+'3. General Model Inputs'!$D$53*F641+F827)/F84)</f>
        <v>0</v>
      </c>
      <c r="G1013" s="30">
        <f ca="1">IF(G84&lt;1,-(G269+G455+G641+G827),-(G269+G455+'3. General Model Inputs'!$D$53*G641+G827)/G84)</f>
        <v>-3557.5315625000003</v>
      </c>
      <c r="H1013" s="30">
        <f ca="1">IF(H84&lt;1,-(H269+H455+H641+H827),-(H269+H455+'3. General Model Inputs'!$D$53*H641+H827)/H84)</f>
        <v>-7295.2201720753201</v>
      </c>
    </row>
    <row r="1014" spans="2:8">
      <c r="B1014" s="152">
        <f t="shared" si="212"/>
        <v>0</v>
      </c>
      <c r="D1014" s="30">
        <f ca="1">IF(D85&lt;1,-(D270+D456+D642+D828),-(D270+D456+'3. General Model Inputs'!$D$53*D642+D828)/D85)</f>
        <v>0</v>
      </c>
      <c r="E1014" s="30">
        <f ca="1">IF(E85&lt;1,-(E270+E456+E642+E828),-(E270+E456+'3. General Model Inputs'!$D$53*E642+E828)/E85)</f>
        <v>0</v>
      </c>
      <c r="F1014" s="30">
        <f ca="1">IF(F85&lt;1,-(F270+F456+F642+F828),-(F270+F456+'3. General Model Inputs'!$D$53*F642+F828)/F85)</f>
        <v>0</v>
      </c>
      <c r="G1014" s="30">
        <f ca="1">IF(G85&lt;1,-(G270+G456+G642+G828),-(G270+G456+'3. General Model Inputs'!$D$53*G642+G828)/G85)</f>
        <v>0</v>
      </c>
      <c r="H1014" s="30">
        <f ca="1">IF(H85&lt;1,-(H270+H456+H642+H828),-(H270+H456+'3. General Model Inputs'!$D$53*H642+H828)/H85)</f>
        <v>-23797.758125</v>
      </c>
    </row>
    <row r="1015" spans="2:8">
      <c r="B1015" s="152">
        <f t="shared" si="212"/>
        <v>0</v>
      </c>
      <c r="D1015" s="30">
        <f ca="1">IF(D86&lt;1,-(D271+D457+D643+D829),-(D271+D457+'3. General Model Inputs'!$D$53*D643+D829)/D86)</f>
        <v>-1085.1437541666664</v>
      </c>
      <c r="E1015" s="30">
        <f ca="1">IF(E86&lt;1,-(E271+E457+E643+E829),-(E271+E457+'3. General Model Inputs'!$D$53*E643+E829)/E86)</f>
        <v>-2215.8083692072737</v>
      </c>
      <c r="F1015" s="30">
        <f ca="1">IF(F86&lt;1,-(F271+F457+F643+F829),-(F271+F457+'3. General Model Inputs'!$D$53*F643+F829)/F86)</f>
        <v>-2271.2035784374557</v>
      </c>
      <c r="G1015" s="30">
        <f ca="1">IF(G86&lt;1,-(G271+G457+G643+G829),-(G271+G457+'3. General Model Inputs'!$D$53*G643+G829)/G86)</f>
        <v>-2327.983667898392</v>
      </c>
      <c r="H1015" s="30">
        <f ca="1">IF(H86&lt;1,-(H271+H457+H643+H829),-(H271+H457+'3. General Model Inputs'!$D$53*H643+H829)/H86)</f>
        <v>-2386.1832595958517</v>
      </c>
    </row>
    <row r="1016" spans="2:8">
      <c r="B1016" s="152">
        <f t="shared" ref="B1016:B1079" si="213">B830</f>
        <v>0</v>
      </c>
      <c r="D1016" s="30">
        <f ca="1">IF(D87&lt;1,-(D272+D458+D644+D830),-(D272+D458+'3. General Model Inputs'!$D$53*D644+D830)/D87)</f>
        <v>0</v>
      </c>
      <c r="E1016" s="30">
        <f ca="1">IF(E87&lt;1,-(E272+E458+E644+E830),-(E272+E458+'3. General Model Inputs'!$D$53*E644+E830)/E87)</f>
        <v>-4190.9825874999997</v>
      </c>
      <c r="F1016" s="30">
        <f ca="1">IF(F87&lt;1,-(F272+F458+F644+F830),-(F272+F458+'3. General Model Inputs'!$D$53*F644+F830)/F87)</f>
        <v>-8557.7733428654665</v>
      </c>
      <c r="G1016" s="30">
        <f ca="1">IF(G87&lt;1,-(G272+G458+G644+G830),-(G272+G458+'3. General Model Inputs'!$D$53*G644+G830)/G87)</f>
        <v>-8771.7176764371034</v>
      </c>
      <c r="H1016" s="30">
        <f ca="1">IF(H87&lt;1,-(H272+H458+H644+H830),-(H272+H458+'3. General Model Inputs'!$D$53*H644+H830)/H87)</f>
        <v>-8991.0106183480293</v>
      </c>
    </row>
    <row r="1017" spans="2:8">
      <c r="B1017" s="152">
        <f t="shared" si="213"/>
        <v>0</v>
      </c>
      <c r="D1017" s="30">
        <f ca="1">IF(D88&lt;1,-(D273+D459+D645+D831),-(D273+D459+'3. General Model Inputs'!$D$53*D645+D831)/D88)</f>
        <v>0</v>
      </c>
      <c r="E1017" s="30">
        <f ca="1">IF(E88&lt;1,-(E273+E459+E645+E831),-(E273+E459+'3. General Model Inputs'!$D$53*E645+E831)/E88)</f>
        <v>0</v>
      </c>
      <c r="F1017" s="30">
        <f ca="1">IF(F88&lt;1,-(F273+F459+F645+F831),-(F273+F459+'3. General Model Inputs'!$D$53*F645+F831)/F88)</f>
        <v>-3690.8627083333336</v>
      </c>
      <c r="G1017" s="30">
        <f ca="1">IF(G88&lt;1,-(G273+G459+G645+G831),-(G273+G459+'3. General Model Inputs'!$D$53*G645+G831)/G88)</f>
        <v>-7536.5539794314973</v>
      </c>
      <c r="H1017" s="30">
        <f ca="1">IF(H88&lt;1,-(H273+H459+H645+H831),-(H273+H459+'3. General Model Inputs'!$D$53*H645+H831)/H88)</f>
        <v>-7724.9678289172844</v>
      </c>
    </row>
    <row r="1018" spans="2:8">
      <c r="B1018" s="152">
        <f t="shared" si="213"/>
        <v>0</v>
      </c>
      <c r="D1018" s="30">
        <f ca="1">IF(D89&lt;1,-(D274+D460+D646+D832),-(D274+D460+'3. General Model Inputs'!$D$53*D646+D832)/D89)</f>
        <v>0</v>
      </c>
      <c r="E1018" s="30">
        <f ca="1">IF(E89&lt;1,-(E274+E460+E646+E832),-(E274+E460+'3. General Model Inputs'!$D$53*E646+E832)/E89)</f>
        <v>0</v>
      </c>
      <c r="F1018" s="30">
        <f ca="1">IF(F89&lt;1,-(F274+F460+F646+F832),-(F274+F460+'3. General Model Inputs'!$D$53*F646+F832)/F89)</f>
        <v>0</v>
      </c>
      <c r="G1018" s="30">
        <f ca="1">IF(G89&lt;1,-(G274+G460+G646+G832),-(G274+G460+'3. General Model Inputs'!$D$53*G646+G832)/G89)</f>
        <v>-3794.6952083333331</v>
      </c>
      <c r="H1018" s="30">
        <f ca="1">IF(H89&lt;1,-(H274+H460+H646+H832),-(H274+H460+'3. General Model Inputs'!$D$53*H646+H832)/H89)</f>
        <v>-7748.5746648128525</v>
      </c>
    </row>
    <row r="1019" spans="2:8">
      <c r="B1019" s="152">
        <f t="shared" si="213"/>
        <v>0</v>
      </c>
      <c r="D1019" s="30">
        <f ca="1">IF(D90&lt;1,-(D275+D461+D647+D833),-(D275+D461+'3. General Model Inputs'!$D$53*D647+D833)/D90)</f>
        <v>0</v>
      </c>
      <c r="E1019" s="30">
        <f ca="1">IF(E90&lt;1,-(E275+E461+E647+E833),-(E275+E461+'3. General Model Inputs'!$D$53*E647+E833)/E90)</f>
        <v>0</v>
      </c>
      <c r="F1019" s="30">
        <f ca="1">IF(F90&lt;1,-(F275+F461+F647+F833),-(F275+F461+'3. General Model Inputs'!$D$53*F647+F833)/F90)</f>
        <v>0</v>
      </c>
      <c r="G1019" s="30">
        <f ca="1">IF(G90&lt;1,-(G275+G461+G647+G833),-(G275+G461+'3. General Model Inputs'!$D$53*G647+G833)/G90)</f>
        <v>0</v>
      </c>
      <c r="H1019" s="30">
        <f ca="1">IF(H90&lt;1,-(H275+H461+H647+H833),-(H275+H461+'3. General Model Inputs'!$D$53*H647+H833)/H90)</f>
        <v>-3905.2756250000002</v>
      </c>
    </row>
    <row r="1020" spans="2:8">
      <c r="B1020" s="152">
        <f t="shared" si="213"/>
        <v>0</v>
      </c>
      <c r="D1020" s="30">
        <f ca="1">IF(D91&lt;1,-(D276+D462+D648+D834),-(D276+D462+'3. General Model Inputs'!$D$53*D648+D834)/D91)</f>
        <v>-2097.6536593749997</v>
      </c>
      <c r="E1020" s="30">
        <f ca="1">IF(E91&lt;1,-(E276+E462+E648+E834),-(E276+E462+'3. General Model Inputs'!$D$53*E648+E834)/E91)</f>
        <v>-4274.3012382011457</v>
      </c>
      <c r="F1020" s="30">
        <f ca="1">IF(F91&lt;1,-(F276+F462+F648+F834),-(F276+F462+'3. General Model Inputs'!$D$53*F648+F834)/F91)</f>
        <v>-4381.1587691561745</v>
      </c>
      <c r="G1020" s="30">
        <f ca="1">IF(G91&lt;1,-(G276+G462+G648+G834),-(G276+G462+'3. General Model Inputs'!$D$53*G648+G834)/G91)</f>
        <v>-4490.6877383850788</v>
      </c>
      <c r="H1020" s="30">
        <f ca="1">IF(H91&lt;1,-(H276+H462+H648+H834),-(H276+H462+'3. General Model Inputs'!$D$53*H648+H834)/H91)</f>
        <v>-4602.9549318447062</v>
      </c>
    </row>
    <row r="1021" spans="2:8">
      <c r="B1021" s="152">
        <f t="shared" si="213"/>
        <v>0</v>
      </c>
      <c r="D1021" s="30">
        <f ca="1">IF(D92&lt;1,-(D277+D463+D649+D835),-(D277+D463+'3. General Model Inputs'!$D$53*D649+D835)/D92)</f>
        <v>0</v>
      </c>
      <c r="E1021" s="30">
        <f ca="1">IF(E92&lt;1,-(E277+E463+E649+E835),-(E277+E463+'3. General Model Inputs'!$D$53*E649+E835)/E92)</f>
        <v>-10209.259709374999</v>
      </c>
      <c r="F1021" s="30">
        <f ca="1">IF(F92&lt;1,-(F277+F463+F649+F835),-(F277+F463+'3. General Model Inputs'!$D$53*F649+F835)/F92)</f>
        <v>-20802.982047046084</v>
      </c>
      <c r="G1021" s="30">
        <f ca="1">IF(G92&lt;1,-(G277+G463+G649+G835),-(G277+G463+'3. General Model Inputs'!$D$53*G649+G835)/G92)</f>
        <v>-21323.056598222236</v>
      </c>
      <c r="H1021" s="30">
        <f ca="1">IF(H92&lt;1,-(H277+H463+H649+H835),-(H277+H463+'3. General Model Inputs'!$D$53*H649+H835)/H92)</f>
        <v>-21856.13301317779</v>
      </c>
    </row>
    <row r="1022" spans="2:8">
      <c r="B1022" s="152">
        <f t="shared" si="213"/>
        <v>0</v>
      </c>
      <c r="D1022" s="30">
        <f ca="1">IF(D93&lt;1,-(D278+D464+D650+D836),-(D278+D464+'3. General Model Inputs'!$D$53*D650+D836)/D93)</f>
        <v>0</v>
      </c>
      <c r="E1022" s="30">
        <f ca="1">IF(E93&lt;1,-(E278+E464+E650+E836),-(E278+E464+'3. General Model Inputs'!$D$53*E650+E836)/E93)</f>
        <v>0</v>
      </c>
      <c r="F1022" s="30">
        <f ca="1">IF(F93&lt;1,-(F278+F464+F650+F836),-(F278+F464+'3. General Model Inputs'!$D$53*F650+F836)/F93)</f>
        <v>-922.71354166666663</v>
      </c>
      <c r="G1022" s="30">
        <f ca="1">IF(G93&lt;1,-(G278+G464+G650+G836),-(G278+G464+'3. General Model Inputs'!$D$53*G650+G836)/G93)</f>
        <v>-1884.1341344456214</v>
      </c>
      <c r="H1022" s="30">
        <f ca="1">IF(H93&lt;1,-(H278+H464+H650+H836),-(H278+H464+'3. General Model Inputs'!$D$53*H650+H836)/H93)</f>
        <v>-1931.2374878067619</v>
      </c>
    </row>
    <row r="1023" spans="2:8">
      <c r="B1023" s="152">
        <f t="shared" si="213"/>
        <v>0</v>
      </c>
      <c r="D1023" s="30">
        <f ca="1">IF(D94&lt;1,-(D279+D465+D651+D837),-(D279+D465+'3. General Model Inputs'!$D$53*D651+D837)/D94)</f>
        <v>0</v>
      </c>
      <c r="E1023" s="30">
        <f ca="1">IF(E94&lt;1,-(E279+E465+E651+E837),-(E279+E465+'3. General Model Inputs'!$D$53*E651+E837)/E94)</f>
        <v>0</v>
      </c>
      <c r="F1023" s="30">
        <f ca="1">IF(F94&lt;1,-(F279+F465+F651+F837),-(F279+F465+'3. General Model Inputs'!$D$53*F651+F837)/F94)</f>
        <v>0</v>
      </c>
      <c r="G1023" s="30">
        <f ca="1">IF(G94&lt;1,-(G279+G465+G651+G837),-(G279+G465+'3. General Model Inputs'!$D$53*G651+G837)/G94)</f>
        <v>-9800.1275000000005</v>
      </c>
      <c r="H1023" s="30">
        <f ca="1">IF(H94&lt;1,-(H279+H465+H651+H837),-(H279+H465+'3. General Model Inputs'!$D$53*H651+H837)/H94)</f>
        <v>-20011.362043432204</v>
      </c>
    </row>
    <row r="1024" spans="2:8">
      <c r="B1024" s="152">
        <f t="shared" si="213"/>
        <v>0</v>
      </c>
      <c r="D1024" s="30">
        <f ca="1">IF(D95&lt;1,-(D280+D466+D652+D838),-(D280+D466+'3. General Model Inputs'!$D$53*D652+D838)/D95)</f>
        <v>0</v>
      </c>
      <c r="E1024" s="30">
        <f ca="1">IF(E95&lt;1,-(E280+E466+E652+E838),-(E280+E466+'3. General Model Inputs'!$D$53*E652+E838)/E95)</f>
        <v>0</v>
      </c>
      <c r="F1024" s="30">
        <f ca="1">IF(F95&lt;1,-(F280+F466+F652+F838),-(F280+F466+'3. General Model Inputs'!$D$53*F652+F838)/F95)</f>
        <v>0</v>
      </c>
      <c r="G1024" s="30">
        <f ca="1">IF(G95&lt;1,-(G280+G466+G652+G838),-(G280+G466+'3. General Model Inputs'!$D$53*G652+G838)/G95)</f>
        <v>-1423.0075000000002</v>
      </c>
      <c r="H1024" s="30">
        <f ca="1">IF(H95&lt;1,-(H280+H466+H652+H838),-(H280+H466+'3. General Model Inputs'!$D$53*H652+H838)/H95)</f>
        <v>-2918.0775592948717</v>
      </c>
    </row>
    <row r="1025" spans="2:8">
      <c r="B1025" s="152">
        <f t="shared" si="213"/>
        <v>0</v>
      </c>
      <c r="D1025" s="30">
        <f ca="1">IF(D96&lt;1,-(D281+D467+D653+D839),-(D281+D467+'3. General Model Inputs'!$D$53*D653+D839)/D96)</f>
        <v>0</v>
      </c>
      <c r="E1025" s="30">
        <f ca="1">IF(E96&lt;1,-(E281+E467+E653+E839),-(E281+E467+'3. General Model Inputs'!$D$53*E653+E839)/E96)</f>
        <v>0</v>
      </c>
      <c r="F1025" s="30">
        <f ca="1">IF(F96&lt;1,-(F281+F467+F653+F839),-(F281+F467+'3. General Model Inputs'!$D$53*F653+F839)/F96)</f>
        <v>0</v>
      </c>
      <c r="G1025" s="30">
        <f ca="1">IF(G96&lt;1,-(G281+G467+G653+G839),-(G281+G467+'3. General Model Inputs'!$D$53*G653+G839)/G96)</f>
        <v>0</v>
      </c>
      <c r="H1025" s="30">
        <f ca="1">IF(H96&lt;1,-(H281+H467+H653+H839),-(H281+H467+'3. General Model Inputs'!$D$53*H653+H839)/H96)</f>
        <v>-13345.051562500001</v>
      </c>
    </row>
    <row r="1026" spans="2:8">
      <c r="B1026" s="152">
        <f t="shared" si="213"/>
        <v>0</v>
      </c>
      <c r="D1026" s="30">
        <f ca="1">IF(D97&lt;1,-(D282+D468+D654+D840),-(D282+D468+'3. General Model Inputs'!$D$53*D654+D840)/D97)</f>
        <v>-4986.0384437500006</v>
      </c>
      <c r="E1026" s="30">
        <f ca="1">IF(E97&lt;1,-(E282+E468+E654+E840),-(E282+E468+'3. General Model Inputs'!$D$53*E654+E840)/E97)</f>
        <v>-10224.574988177084</v>
      </c>
      <c r="F1026" s="30">
        <f ca="1">IF(F97&lt;1,-(F282+F468+F654+F840),-(F282+F468+'3. General Model Inputs'!$D$53*F654+F840)/F97)</f>
        <v>-10480.189362881512</v>
      </c>
      <c r="G1026" s="30">
        <f ca="1">IF(G97&lt;1,-(G282+G468+G654+G840),-(G282+G468+'3. General Model Inputs'!$D$53*G654+G840)/G97)</f>
        <v>-10742.19409695355</v>
      </c>
      <c r="H1026" s="30">
        <f ca="1">IF(H97&lt;1,-(H282+H468+H654+H840),-(H282+H468+'3. General Model Inputs'!$D$53*H654+H840)/H97)</f>
        <v>-11010.748949377388</v>
      </c>
    </row>
    <row r="1027" spans="2:8">
      <c r="B1027" s="152">
        <f t="shared" si="213"/>
        <v>0</v>
      </c>
      <c r="D1027" s="30">
        <f ca="1">IF(D98&lt;1,-(D283+D469+D655+D841),-(D283+D469+'3. General Model Inputs'!$D$53*D655+D841)/D98)</f>
        <v>0</v>
      </c>
      <c r="E1027" s="30">
        <f ca="1">IF(E98&lt;1,-(E283+E469+E655+E841),-(E283+E469+'3. General Model Inputs'!$D$53*E655+E841)/E98)</f>
        <v>-9116.9619249999996</v>
      </c>
      <c r="F1027" s="30">
        <f ca="1">IF(F98&lt;1,-(F283+F469+F655+F841),-(F283+F469+'3. General Model Inputs'!$D$53*F655+F841)/F98)</f>
        <v>-18695.61615261218</v>
      </c>
      <c r="G1027" s="30">
        <f ca="1">IF(G98&lt;1,-(G283+G469+G655+G841),-(G283+G469+'3. General Model Inputs'!$D$53*G655+G841)/G98)</f>
        <v>-19163.006556427485</v>
      </c>
      <c r="H1027" s="30">
        <f ca="1">IF(H98&lt;1,-(H283+H469+H655+H841),-(H283+H469+'3. General Model Inputs'!$D$53*H655+H841)/H98)</f>
        <v>-19642.08172033817</v>
      </c>
    </row>
    <row r="1028" spans="2:8">
      <c r="B1028" s="152">
        <f t="shared" si="213"/>
        <v>0</v>
      </c>
      <c r="D1028" s="30">
        <f ca="1">IF(D99&lt;1,-(D284+D470+D656+D842),-(D284+D470+'3. General Model Inputs'!$D$53*D656+D842)/D99)</f>
        <v>0</v>
      </c>
      <c r="E1028" s="30">
        <f ca="1">IF(E99&lt;1,-(E284+E470+E656+E842),-(E284+E470+'3. General Model Inputs'!$D$53*E656+E842)/E99)</f>
        <v>0</v>
      </c>
      <c r="F1028" s="30">
        <f ca="1">IF(F99&lt;1,-(F284+F470+F656+F842),-(F284+F470+'3. General Model Inputs'!$D$53*F656+F842)/F99)</f>
        <v>0</v>
      </c>
      <c r="G1028" s="30">
        <f ca="1">IF(G99&lt;1,-(G284+G470+G656+G842),-(G284+G470+'3. General Model Inputs'!$D$53*G656+G842)/G99)</f>
        <v>-5336.2909374999999</v>
      </c>
      <c r="H1028" s="30">
        <f ca="1">IF(H99&lt;1,-(H284+H470+H656+H842),-(H284+H470+'3. General Model Inputs'!$D$53*H656+H842)/H99)</f>
        <v>-10942.81712119391</v>
      </c>
    </row>
    <row r="1029" spans="2:8">
      <c r="B1029" s="152">
        <f t="shared" si="213"/>
        <v>0</v>
      </c>
      <c r="D1029" s="30">
        <f ca="1">IF(D100&lt;1,-(D285+D471+D657+D843),-(D285+D471+'3. General Model Inputs'!$D$53*D657+D843)/D100)</f>
        <v>0</v>
      </c>
      <c r="E1029" s="30">
        <f ca="1">IF(E100&lt;1,-(E285+E471+E657+E843),-(E285+E471+'3. General Model Inputs'!$D$53*E657+E843)/E100)</f>
        <v>0</v>
      </c>
      <c r="F1029" s="30">
        <f ca="1">IF(F100&lt;1,-(F285+F471+F657+F843),-(F285+F471+'3. General Model Inputs'!$D$53*F657+F843)/F100)</f>
        <v>0</v>
      </c>
      <c r="G1029" s="30">
        <f ca="1">IF(G100&lt;1,-(G285+G471+G657+G843),-(G285+G471+'3. General Model Inputs'!$D$53*G657+G843)/G100)</f>
        <v>0</v>
      </c>
      <c r="H1029" s="30">
        <f ca="1">IF(H100&lt;1,-(H285+H471+H657+H843),-(H285+H471+'3. General Model Inputs'!$D$53*H657+H843)/H100)</f>
        <v>-7505.4471874999999</v>
      </c>
    </row>
    <row r="1030" spans="2:8">
      <c r="B1030" s="152">
        <f t="shared" si="213"/>
        <v>0</v>
      </c>
      <c r="D1030" s="30">
        <f ca="1">IF(D101&lt;1,-(D286+D472+D658+D844),-(D286+D472+'3. General Model Inputs'!$D$53*D658+D844)/D101)</f>
        <v>0</v>
      </c>
      <c r="E1030" s="30">
        <f ca="1">IF(E101&lt;1,-(E286+E472+E658+E844),-(E286+E472+'3. General Model Inputs'!$D$53*E658+E844)/E101)</f>
        <v>0</v>
      </c>
      <c r="F1030" s="30">
        <f ca="1">IF(F101&lt;1,-(F286+F472+F658+F844),-(F286+F472+'3. General Model Inputs'!$D$53*F658+F844)/F101)</f>
        <v>0</v>
      </c>
      <c r="G1030" s="30">
        <f ca="1">IF(G101&lt;1,-(G286+G472+G658+G844),-(G286+G472+'3. General Model Inputs'!$D$53*G658+G844)/G101)</f>
        <v>-1423.0074999999999</v>
      </c>
      <c r="H1030" s="30">
        <f ca="1">IF(H101&lt;1,-(H286+H472+H658+H844),-(H286+H472+'3. General Model Inputs'!$D$53*H658+H844)/H101)</f>
        <v>-2910.631156887755</v>
      </c>
    </row>
    <row r="1031" spans="2:8">
      <c r="B1031" s="152">
        <f t="shared" si="213"/>
        <v>0</v>
      </c>
      <c r="D1031" s="30">
        <f ca="1">IF(D102&lt;1,-(D287+D473+D659+D845),-(D287+D473+'3. General Model Inputs'!$D$53*D659+D845)/D102)</f>
        <v>0</v>
      </c>
      <c r="E1031" s="30">
        <f ca="1">IF(E102&lt;1,-(E287+E473+E659+E845),-(E287+E473+'3. General Model Inputs'!$D$53*E659+E845)/E102)</f>
        <v>0</v>
      </c>
      <c r="F1031" s="30">
        <f ca="1">IF(F102&lt;1,-(F287+F473+F659+F845),-(F287+F473+'3. General Model Inputs'!$D$53*F659+F845)/F102)</f>
        <v>0</v>
      </c>
      <c r="G1031" s="30">
        <f ca="1">IF(G102&lt;1,-(G287+G473+G659+G845),-(G287+G473+'3. General Model Inputs'!$D$53*G659+G845)/G102)</f>
        <v>0</v>
      </c>
      <c r="H1031" s="30">
        <f ca="1">IF(H102&lt;1,-(H287+H473+H659+H845),-(H287+H473+'3. General Model Inputs'!$D$53*H659+H845)/H102)</f>
        <v>-8786.8637500000004</v>
      </c>
    </row>
    <row r="1032" spans="2:8">
      <c r="B1032" s="152">
        <f t="shared" si="213"/>
        <v>0</v>
      </c>
      <c r="D1032" s="30">
        <f ca="1">IF(D103&lt;1,-(D288+D474+D660+D846),-(D288+D474+'3. General Model Inputs'!$D$53*D660+D846)/D103)</f>
        <v>0</v>
      </c>
      <c r="E1032" s="30">
        <f ca="1">IF(E103&lt;1,-(E288+E474+E660+E846),-(E288+E474+'3. General Model Inputs'!$D$53*E660+E846)/E103)</f>
        <v>0</v>
      </c>
      <c r="F1032" s="30">
        <f ca="1">IF(F103&lt;1,-(F288+F474+F660+F846),-(F288+F474+'3. General Model Inputs'!$D$53*F660+F846)/F103)</f>
        <v>0</v>
      </c>
      <c r="G1032" s="30">
        <f ca="1">IF(G103&lt;1,-(G288+G474+G660+G846),-(G288+G474+'3. General Model Inputs'!$D$53*G660+G846)/G103)</f>
        <v>-1245.1315625</v>
      </c>
      <c r="H1032" s="30">
        <f ca="1">IF(H103&lt;1,-(H288+H474+H660+H846),-(H288+H474+'3. General Model Inputs'!$D$53*H660+H846)/H103)</f>
        <v>-2537.1525730814874</v>
      </c>
    </row>
    <row r="1033" spans="2:8">
      <c r="B1033" s="152">
        <f t="shared" si="213"/>
        <v>0</v>
      </c>
      <c r="D1033" s="30">
        <f ca="1">IF(D104&lt;1,-(D289+D475+D661+D847),-(D289+D475+'3. General Model Inputs'!$D$53*D661+D847)/D104)</f>
        <v>0</v>
      </c>
      <c r="E1033" s="30">
        <f ca="1">IF(E104&lt;1,-(E289+E475+E661+E847),-(E289+E475+'3. General Model Inputs'!$D$53*E661+E847)/E104)</f>
        <v>0</v>
      </c>
      <c r="F1033" s="30">
        <f ca="1">IF(F104&lt;1,-(F289+F475+F661+F847),-(F289+F475+'3. General Model Inputs'!$D$53*F661+F847)/F104)</f>
        <v>0</v>
      </c>
      <c r="G1033" s="30">
        <f ca="1">IF(G104&lt;1,-(G289+G475+G661+G847),-(G289+G475+'3. General Model Inputs'!$D$53*G661+G847)/G104)</f>
        <v>0</v>
      </c>
      <c r="H1033" s="30">
        <f ca="1">IF(H104&lt;1,-(H289+H475+H661+H847),-(H289+H475+'3. General Model Inputs'!$D$53*H661+H847)/H104)</f>
        <v>-4393.4318750000002</v>
      </c>
    </row>
    <row r="1034" spans="2:8">
      <c r="B1034" s="152">
        <f t="shared" si="213"/>
        <v>0</v>
      </c>
      <c r="D1034" s="30">
        <f ca="1">IF(D105&lt;1,-(D290+D476+D662+D848),-(D290+D476+'3. General Model Inputs'!$D$53*D662+D848)/D105)</f>
        <v>0</v>
      </c>
      <c r="E1034" s="30">
        <f ca="1">IF(E105&lt;1,-(E290+E476+E662+E848),-(E290+E476+'3. General Model Inputs'!$D$53*E662+E848)/E105)</f>
        <v>0</v>
      </c>
      <c r="F1034" s="30">
        <f ca="1">IF(F105&lt;1,-(F290+F476+F662+F848),-(F290+F476+'3. General Model Inputs'!$D$53*F662+F848)/F105)</f>
        <v>-3460.1821875000001</v>
      </c>
      <c r="G1034" s="30">
        <f ca="1">IF(G105&lt;1,-(G290+G476+G662+G848),-(G290+G476+'3. General Model Inputs'!$D$53*G662+G848)/G105)</f>
        <v>-7095.5915498798067</v>
      </c>
      <c r="H1034" s="30">
        <f ca="1">IF(H105&lt;1,-(H290+H476+H662+H848),-(H290+H476+'3. General Model Inputs'!$D$53*H662+H848)/H105)</f>
        <v>-7272.9813386268015</v>
      </c>
    </row>
    <row r="1035" spans="2:8">
      <c r="B1035" s="152">
        <f t="shared" si="213"/>
        <v>0</v>
      </c>
      <c r="D1035" s="30">
        <f ca="1">IF(D106&lt;1,-(D291+D477+D663+D849),-(D291+D477+'3. General Model Inputs'!$D$53*D663+D849)/D106)</f>
        <v>0</v>
      </c>
      <c r="E1035" s="30">
        <f ca="1">IF(E106&lt;1,-(E291+E477+E663+E849),-(E291+E477+'3. General Model Inputs'!$D$53*E663+E849)/E106)</f>
        <v>0</v>
      </c>
      <c r="F1035" s="30">
        <f ca="1">IF(F106&lt;1,-(F291+F477+F663+F849),-(F291+F477+'3. General Model Inputs'!$D$53*F663+F849)/F106)</f>
        <v>0</v>
      </c>
      <c r="G1035" s="30">
        <f ca="1">IF(G106&lt;1,-(G291+G477+G663+G849),-(G291+G477+'3. General Model Inputs'!$D$53*G663+G849)/G106)</f>
        <v>-3557.5315625000003</v>
      </c>
      <c r="H1035" s="30">
        <f ca="1">IF(H106&lt;1,-(H291+H477+H663+H849),-(H291+H477+'3. General Model Inputs'!$D$53*H663+H849)/H106)</f>
        <v>-7295.2201720753201</v>
      </c>
    </row>
    <row r="1036" spans="2:8">
      <c r="B1036" s="152">
        <f t="shared" si="213"/>
        <v>0</v>
      </c>
      <c r="D1036" s="30">
        <f ca="1">IF(D107&lt;1,-(D292+D478+D664+D850),-(D292+D478+'3. General Model Inputs'!$D$53*D664+D850)/D107)</f>
        <v>0</v>
      </c>
      <c r="E1036" s="30">
        <f ca="1">IF(E107&lt;1,-(E292+E478+E664+E850),-(E292+E478+'3. General Model Inputs'!$D$53*E664+E850)/E107)</f>
        <v>0</v>
      </c>
      <c r="F1036" s="30">
        <f ca="1">IF(F107&lt;1,-(F292+F478+F664+F850),-(F292+F478+'3. General Model Inputs'!$D$53*F664+F850)/F107)</f>
        <v>0</v>
      </c>
      <c r="G1036" s="30">
        <f ca="1">IF(G107&lt;1,-(G292+G478+G664+G850),-(G292+G478+'3. General Model Inputs'!$D$53*G664+G850)/G107)</f>
        <v>0</v>
      </c>
      <c r="H1036" s="30">
        <f ca="1">IF(H107&lt;1,-(H292+H478+H664+H850),-(H292+H478+'3. General Model Inputs'!$D$53*H664+H850)/H107)</f>
        <v>-4210.3796874999998</v>
      </c>
    </row>
    <row r="1037" spans="2:8">
      <c r="B1037" s="152">
        <f t="shared" si="213"/>
        <v>0</v>
      </c>
      <c r="D1037" s="30">
        <f ca="1">IF(D108&lt;1,-(D293+D479+D665+D851),-(D293+D479+'3. General Model Inputs'!$D$53*D665+D851)/D108)</f>
        <v>0</v>
      </c>
      <c r="E1037" s="30">
        <f ca="1">IF(E108&lt;1,-(E293+E479+E665+E851),-(E293+E479+'3. General Model Inputs'!$D$53*E665+E851)/E108)</f>
        <v>0</v>
      </c>
      <c r="F1037" s="30">
        <f ca="1">IF(F108&lt;1,-(F293+F479+F665+F851),-(F293+F479+'3. General Model Inputs'!$D$53*F665+F851)/F108)</f>
        <v>0</v>
      </c>
      <c r="G1037" s="30">
        <f ca="1">IF(G108&lt;1,-(G293+G479+G665+G851),-(G293+G479+'3. General Model Inputs'!$D$53*G665+G851)/G108)</f>
        <v>0</v>
      </c>
      <c r="H1037" s="30">
        <f ca="1">IF(H108&lt;1,-(H293+H479+H665+H851),-(H293+H479+'3. General Model Inputs'!$D$53*H665+H851)/H108)</f>
        <v>-9152.9809375000004</v>
      </c>
    </row>
    <row r="1038" spans="2:8">
      <c r="B1038" s="152">
        <f t="shared" si="213"/>
        <v>0</v>
      </c>
      <c r="D1038" s="30">
        <f ca="1">IF(D109&lt;1,-(D294+D480+D666+D852),-(D294+D480+'3. General Model Inputs'!$D$53*D666+D852)/D109)</f>
        <v>0</v>
      </c>
      <c r="E1038" s="30">
        <f ca="1">IF(E109&lt;1,-(E294+E480+E666+E852),-(E294+E480+'3. General Model Inputs'!$D$53*E666+E852)/E109)</f>
        <v>0</v>
      </c>
      <c r="F1038" s="30">
        <f ca="1">IF(F109&lt;1,-(F294+F480+F666+F852),-(F294+F480+'3. General Model Inputs'!$D$53*F666+F852)/F109)</f>
        <v>0</v>
      </c>
      <c r="G1038" s="30">
        <f ca="1">IF(G109&lt;1,-(G294+G480+G666+G852),-(G294+G480+'3. General Model Inputs'!$D$53*G666+G852)/G109)</f>
        <v>0</v>
      </c>
      <c r="H1038" s="30">
        <f ca="1">IF(H109&lt;1,-(H294+H480+H666+H852),-(H294+H480+'3. General Model Inputs'!$D$53*H666+H852)/H109)</f>
        <v>-6101.9872916666664</v>
      </c>
    </row>
    <row r="1039" spans="2:8">
      <c r="B1039" s="152">
        <f t="shared" si="213"/>
        <v>0</v>
      </c>
      <c r="D1039" s="30">
        <f ca="1">IF(D110&lt;1,-(D295+D481+D667+D853),-(D295+D481+'3. General Model Inputs'!$D$53*D667+D853)/D110)</f>
        <v>0</v>
      </c>
      <c r="E1039" s="30">
        <f ca="1">IF(E110&lt;1,-(E295+E481+E667+E853),-(E295+E481+'3. General Model Inputs'!$D$53*E667+E853)/E110)</f>
        <v>0</v>
      </c>
      <c r="F1039" s="30">
        <f ca="1">IF(F110&lt;1,-(F295+F481+F667+F853),-(F295+F481+'3. General Model Inputs'!$D$53*F667+F853)/F110)</f>
        <v>0</v>
      </c>
      <c r="G1039" s="30">
        <f ca="1">IF(G110&lt;1,-(G295+G481+G667+G853),-(G295+G481+'3. General Model Inputs'!$D$53*G667+G853)/G110)</f>
        <v>-2195.2563069762787</v>
      </c>
      <c r="H1039" s="30">
        <f ca="1">IF(H110&lt;1,-(H295+H481+H667+H853),-(H295+H481+'3. General Model Inputs'!$D$53*H667+H853)/H110)</f>
        <v>-4501.682644882766</v>
      </c>
    </row>
    <row r="1040" spans="2:8">
      <c r="B1040" s="152">
        <f t="shared" si="213"/>
        <v>0</v>
      </c>
      <c r="D1040" s="30">
        <f ca="1">IF(D111&lt;1,-(D296+D482+D668+D854),-(D296+D482+'3. General Model Inputs'!$D$53*D668+D854)/D111)</f>
        <v>0</v>
      </c>
      <c r="E1040" s="30">
        <f ca="1">IF(E111&lt;1,-(E296+E482+E668+E854),-(E296+E482+'3. General Model Inputs'!$D$53*E668+E854)/E111)</f>
        <v>0</v>
      </c>
      <c r="F1040" s="30">
        <f ca="1">IF(F111&lt;1,-(F296+F482+F668+F854),-(F296+F482+'3. General Model Inputs'!$D$53*F668+F854)/F111)</f>
        <v>0</v>
      </c>
      <c r="G1040" s="30">
        <f ca="1">IF(G111&lt;1,-(G296+G482+G668+G854),-(G296+G482+'3. General Model Inputs'!$D$53*G668+G854)/G111)</f>
        <v>0</v>
      </c>
      <c r="H1040" s="30">
        <f ca="1">IF(H111&lt;1,-(H296+H482+H668+H854),-(H296+H482+'3. General Model Inputs'!$D$53*H668+H854)/H111)</f>
        <v>-6920.3666538192556</v>
      </c>
    </row>
    <row r="1041" spans="2:8">
      <c r="B1041" s="152">
        <f t="shared" si="213"/>
        <v>0</v>
      </c>
      <c r="D1041" s="30">
        <f ca="1">IF(D112&lt;1,-(D297+D483+D669+D855),-(D297+D483+'3. General Model Inputs'!$D$53*D669+D855)/D112)</f>
        <v>0</v>
      </c>
      <c r="E1041" s="30">
        <f ca="1">IF(E112&lt;1,-(E297+E483+E669+E855),-(E297+E483+'3. General Model Inputs'!$D$53*E669+E855)/E112)</f>
        <v>0</v>
      </c>
      <c r="F1041" s="30">
        <f ca="1">IF(F112&lt;1,-(F297+F483+F669+F855),-(F297+F483+'3. General Model Inputs'!$D$53*F669+F855)/F112)</f>
        <v>0</v>
      </c>
      <c r="G1041" s="30">
        <f ca="1">IF(G112&lt;1,-(G297+G483+G669+G855),-(G297+G483+'3. General Model Inputs'!$D$53*G669+G855)/G112)</f>
        <v>-11176.565833333332</v>
      </c>
      <c r="H1041" s="30">
        <f ca="1">IF(H112&lt;1,-(H297+H483+H669+H855),-(H297+H483+'3. General Model Inputs'!$D$53*H669+H855)/H112)</f>
        <v>-23017.944634339081</v>
      </c>
    </row>
    <row r="1042" spans="2:8">
      <c r="B1042" s="152">
        <f t="shared" si="213"/>
        <v>0</v>
      </c>
      <c r="D1042" s="30">
        <f ca="1">IF(D113&lt;1,-(D298+D484+D670+D856),-(D298+D484+'3. General Model Inputs'!$D$53*D670+D856)/D113)</f>
        <v>-5494.5922791666671</v>
      </c>
      <c r="E1042" s="30">
        <f ca="1">IF(E113&lt;1,-(E298+E484+E670+E856),-(E298+E484+'3. General Model Inputs'!$D$53*E670+E856)/E113)</f>
        <v>-11219.678048010242</v>
      </c>
      <c r="F1042" s="30">
        <f ca="1">IF(F113&lt;1,-(F298+F484+F670+F856),-(F298+F484+'3. General Model Inputs'!$D$53*F670+F856)/F113)</f>
        <v>-11500.169999210499</v>
      </c>
      <c r="G1042" s="30">
        <f ca="1">IF(G113&lt;1,-(G298+G484+G670+G856),-(G298+G484+'3. General Model Inputs'!$D$53*G670+G856)/G113)</f>
        <v>-11787.674249190761</v>
      </c>
      <c r="H1042" s="30">
        <f ca="1">IF(H113&lt;1,-(H298+H484+H670+H856),-(H298+H484+'3. General Model Inputs'!$D$53*H670+H856)/H113)</f>
        <v>-12082.366105420531</v>
      </c>
    </row>
    <row r="1043" spans="2:8">
      <c r="B1043" s="152">
        <f t="shared" si="213"/>
        <v>0</v>
      </c>
      <c r="D1043" s="30">
        <f ca="1">IF(D114&lt;1,-(D299+D485+D671+D857),-(D299+D485+'3. General Model Inputs'!$D$53*D671+D857)/D114)</f>
        <v>0</v>
      </c>
      <c r="E1043" s="30">
        <f ca="1">IF(E114&lt;1,-(E299+E485+E671+E857),-(E299+E485+'3. General Model Inputs'!$D$53*E671+E857)/E114)</f>
        <v>0</v>
      </c>
      <c r="F1043" s="30">
        <f ca="1">IF(F114&lt;1,-(F299+F485+F671+F857),-(F299+F485+'3. General Model Inputs'!$D$53*F671+F857)/F114)</f>
        <v>-7871.9231249999993</v>
      </c>
      <c r="G1043" s="30">
        <f ca="1">IF(G114&lt;1,-(G299+G485+G671+G857),-(G299+G485+'3. General Model Inputs'!$D$53*G671+G857)/G114)</f>
        <v>-16142.488510817308</v>
      </c>
      <c r="H1043" s="30">
        <f ca="1">IF(H114&lt;1,-(H299+H485+H671+H857),-(H299+H485+'3. General Model Inputs'!$D$53*H671+H857)/H114)</f>
        <v>-16546.050723587741</v>
      </c>
    </row>
    <row r="1044" spans="2:8">
      <c r="B1044" s="152">
        <f t="shared" si="213"/>
        <v>0</v>
      </c>
      <c r="D1044" s="30">
        <f ca="1">IF(D115&lt;1,-(D300+D486+D672+D858),-(D300+D486+'3. General Model Inputs'!$D$53*D672+D858)/D115)</f>
        <v>0</v>
      </c>
      <c r="E1044" s="30">
        <f ca="1">IF(E115&lt;1,-(E300+E486+E672+E858),-(E300+E486+'3. General Model Inputs'!$D$53*E672+E858)/E115)</f>
        <v>0</v>
      </c>
      <c r="F1044" s="30">
        <f ca="1">IF(F115&lt;1,-(F300+F486+F672+F858),-(F300+F486+'3. General Model Inputs'!$D$53*F672+F858)/F115)</f>
        <v>0</v>
      </c>
      <c r="G1044" s="30">
        <f ca="1">IF(G115&lt;1,-(G300+G486+G672+G858),-(G300+G486+'3. General Model Inputs'!$D$53*G672+G858)/G115)</f>
        <v>-1423.0075000000002</v>
      </c>
      <c r="H1044" s="30">
        <f ca="1">IF(H115&lt;1,-(H300+H486+H672+H858),-(H300+H486+'3. General Model Inputs'!$D$53*H672+H858)/H115)</f>
        <v>-2918.0775592948717</v>
      </c>
    </row>
    <row r="1045" spans="2:8">
      <c r="B1045" s="152">
        <f t="shared" si="213"/>
        <v>0</v>
      </c>
      <c r="D1045" s="30">
        <f ca="1">IF(D116&lt;1,-(D301+D487+D673+D859),-(D301+D487+'3. General Model Inputs'!$D$53*D673+D859)/D116)</f>
        <v>0</v>
      </c>
      <c r="E1045" s="30">
        <f ca="1">IF(E116&lt;1,-(E301+E487+E673+E859),-(E301+E487+'3. General Model Inputs'!$D$53*E673+E859)/E116)</f>
        <v>0</v>
      </c>
      <c r="F1045" s="30">
        <f ca="1">IF(F116&lt;1,-(F301+F487+F673+F859),-(F301+F487+'3. General Model Inputs'!$D$53*F673+F859)/F116)</f>
        <v>0</v>
      </c>
      <c r="G1045" s="30">
        <f ca="1">IF(G116&lt;1,-(G301+G487+G673+G859),-(G301+G487+'3. General Model Inputs'!$D$53*G673+G859)/G116)</f>
        <v>0</v>
      </c>
      <c r="H1045" s="30">
        <f ca="1">IF(H116&lt;1,-(H301+H487+H673+H859),-(H301+H487+'3. General Model Inputs'!$D$53*H673+H859)/H116)</f>
        <v>-5857.9134375000003</v>
      </c>
    </row>
    <row r="1046" spans="2:8">
      <c r="B1046" s="152">
        <f t="shared" si="213"/>
        <v>0</v>
      </c>
      <c r="D1046" s="30">
        <f ca="1">IF(D117&lt;1,-(D302+D488+D674+D860),-(D302+D488+'3. General Model Inputs'!$D$53*D674+D860)/D117)</f>
        <v>-453.27242500000011</v>
      </c>
      <c r="E1046" s="30">
        <f ca="1">IF(E117&lt;1,-(E302+E488+E674+E860),-(E302+E488+'3. General Model Inputs'!$D$53*E674+E860)/E117)</f>
        <v>-929.49903049679506</v>
      </c>
      <c r="F1046" s="30">
        <f ca="1">IF(F117&lt;1,-(F302+F488+F674+F860),-(F302+F488+'3. General Model Inputs'!$D$53*F674+F860)/F117)</f>
        <v>-952.73650625921493</v>
      </c>
      <c r="G1046" s="30">
        <f ca="1">IF(G117&lt;1,-(G302+G488+G674+G860),-(G302+G488+'3. General Model Inputs'!$D$53*G674+G860)/G117)</f>
        <v>-976.55491891569523</v>
      </c>
      <c r="H1046" s="30">
        <f ca="1">IF(H117&lt;1,-(H302+H488+H674+H860),-(H302+H488+'3. General Model Inputs'!$D$53*H674+H860)/H117)</f>
        <v>-1000.9687918885876</v>
      </c>
    </row>
    <row r="1047" spans="2:8">
      <c r="B1047" s="152">
        <f t="shared" si="213"/>
        <v>0</v>
      </c>
      <c r="D1047" s="30">
        <f ca="1">IF(D118&lt;1,-(D303+D489+D675+D861),-(D303+D489+'3. General Model Inputs'!$D$53*D675+D861)/D118)</f>
        <v>0</v>
      </c>
      <c r="E1047" s="30">
        <f ca="1">IF(E118&lt;1,-(E303+E489+E675+E861),-(E303+E489+'3. General Model Inputs'!$D$53*E675+E861)/E118)</f>
        <v>-6167.6492187499998</v>
      </c>
      <c r="F1047" s="30">
        <f ca="1">IF(F118&lt;1,-(F303+F489+F675+F861),-(F303+F489+'3. General Model Inputs'!$D$53*F675+F861)/F118)</f>
        <v>-12647.634519731571</v>
      </c>
      <c r="G1047" s="30">
        <f ca="1">IF(G118&lt;1,-(G303+G489+G675+G861),-(G303+G489+'3. General Model Inputs'!$D$53*G675+G861)/G118)</f>
        <v>-12963.825382724861</v>
      </c>
      <c r="H1047" s="30">
        <f ca="1">IF(H118&lt;1,-(H303+H489+H675+H861),-(H303+H489+'3. General Model Inputs'!$D$53*H675+H861)/H118)</f>
        <v>-13287.921017292982</v>
      </c>
    </row>
    <row r="1048" spans="2:8">
      <c r="B1048" s="152">
        <f t="shared" si="213"/>
        <v>0</v>
      </c>
      <c r="D1048" s="30">
        <f ca="1">IF(D119&lt;1,-(D304+D490+D676+D862),-(D304+D490+'3. General Model Inputs'!$D$53*D676+D862)/D119)</f>
        <v>0</v>
      </c>
      <c r="E1048" s="30">
        <f ca="1">IF(E119&lt;1,-(E304+E490+E676+E862),-(E304+E490+'3. General Model Inputs'!$D$53*E676+E862)/E119)</f>
        <v>0</v>
      </c>
      <c r="F1048" s="30">
        <f ca="1">IF(F119&lt;1,-(F304+F490+F676+F862),-(F304+F490+'3. General Model Inputs'!$D$53*F676+F862)/F119)</f>
        <v>0</v>
      </c>
      <c r="G1048" s="30">
        <f ca="1">IF(G119&lt;1,-(G304+G490+G676+G862),-(G304+G490+'3. General Model Inputs'!$D$53*G676+G862)/G119)</f>
        <v>0</v>
      </c>
      <c r="H1048" s="30">
        <f ca="1">IF(H119&lt;1,-(H304+H490+H676+H862),-(H304+H490+'3. General Model Inputs'!$D$53*H676+H862)/H119)</f>
        <v>-3011.3346874999997</v>
      </c>
    </row>
    <row r="1049" spans="2:8">
      <c r="B1049" s="152">
        <f t="shared" si="213"/>
        <v>0</v>
      </c>
      <c r="D1049" s="30">
        <f ca="1">IF(D120&lt;1,-(D305+D491+D677+D863),-(D305+D491+'3. General Model Inputs'!$D$53*D677+D863)/D120)</f>
        <v>-259.63288437500006</v>
      </c>
      <c r="E1049" s="30">
        <f ca="1">IF(E120&lt;1,-(E305+E491+E677+E863),-(E305+E491+'3. General Model Inputs'!$D$53*E677+E863)/E120)</f>
        <v>-532.4138443048879</v>
      </c>
      <c r="F1049" s="30">
        <f ca="1">IF(F120&lt;1,-(F305+F491+F677+F863),-(F305+F491+'3. General Model Inputs'!$D$53*F677+F863)/F120)</f>
        <v>-545.7241904125101</v>
      </c>
      <c r="G1049" s="30">
        <f ca="1">IF(G120&lt;1,-(G305+G491+G677+G863),-(G305+G491+'3. General Model Inputs'!$D$53*G677+G863)/G120)</f>
        <v>-559.36729517282276</v>
      </c>
      <c r="H1049" s="30">
        <f ca="1">IF(H120&lt;1,-(H305+H491+H677+H863),-(H305+H491+'3. General Model Inputs'!$D$53*H677+H863)/H120)</f>
        <v>-573.35147755214336</v>
      </c>
    </row>
    <row r="1050" spans="2:8">
      <c r="B1050" s="152">
        <f t="shared" si="213"/>
        <v>0</v>
      </c>
      <c r="D1050" s="30">
        <f ca="1">IF(D121&lt;1,-(D306+D492+D678+D864),-(D306+D492+'3. General Model Inputs'!$D$53*D678+D864)/D121)</f>
        <v>0</v>
      </c>
      <c r="E1050" s="30">
        <f ca="1">IF(E121&lt;1,-(E306+E492+E678+E864),-(E306+E492+'3. General Model Inputs'!$D$53*E678+E864)/E121)</f>
        <v>-4768.8090406249994</v>
      </c>
      <c r="F1050" s="30">
        <f ca="1">IF(F121&lt;1,-(F306+F492+F678+F864),-(F306+F492+'3. General Model Inputs'!$D$53*F678+F864)/F121)</f>
        <v>-9779.1154621534442</v>
      </c>
      <c r="G1050" s="30">
        <f ca="1">IF(G121&lt;1,-(G306+G492+G678+G864),-(G306+G492+'3. General Model Inputs'!$D$53*G678+G864)/G121)</f>
        <v>-10023.59334870728</v>
      </c>
      <c r="H1050" s="30">
        <f ca="1">IF(H121&lt;1,-(H306+H492+H678+H864),-(H306+H492+'3. General Model Inputs'!$D$53*H678+H864)/H121)</f>
        <v>-10274.18318242496</v>
      </c>
    </row>
    <row r="1051" spans="2:8">
      <c r="B1051" s="152">
        <f t="shared" si="213"/>
        <v>0</v>
      </c>
      <c r="D1051" s="30">
        <f ca="1">IF(D122&lt;1,-(D307+D493+D679+D865),-(D307+D493+'3. General Model Inputs'!$D$53*D679+D865)/D122)</f>
        <v>0</v>
      </c>
      <c r="E1051" s="30">
        <f ca="1">IF(E122&lt;1,-(E307+E493+E679+E865),-(E307+E493+'3. General Model Inputs'!$D$53*E679+E865)/E122)</f>
        <v>0</v>
      </c>
      <c r="F1051" s="30">
        <f ca="1">IF(F122&lt;1,-(F307+F493+F679+F865),-(F307+F493+'3. General Model Inputs'!$D$53*F679+F865)/F122)</f>
        <v>-599.01</v>
      </c>
      <c r="G1051" s="30">
        <f ca="1">IF(G122&lt;1,-(G307+G493+G679+G865),-(G307+G493+'3. General Model Inputs'!$D$53*G679+G865)/G122)</f>
        <v>-1228.3544807692308</v>
      </c>
      <c r="H1051" s="30">
        <f ca="1">IF(H122&lt;1,-(H307+H493+H679+H865),-(H307+H493+'3. General Model Inputs'!$D$53*H679+H865)/H122)</f>
        <v>-1259.0633427884616</v>
      </c>
    </row>
    <row r="1052" spans="2:8">
      <c r="B1052" s="152">
        <f t="shared" si="213"/>
        <v>0</v>
      </c>
      <c r="D1052" s="30">
        <f ca="1">IF(D123&lt;1,-(D308+D494+D680+D866),-(D308+D494+'3. General Model Inputs'!$D$53*D680+D866)/D123)</f>
        <v>-4148.2317593749995</v>
      </c>
      <c r="E1052" s="30">
        <f ca="1">IF(E123&lt;1,-(E308+E494+E680+E866),-(E308+E494+'3. General Model Inputs'!$D$53*E680+E866)/E123)</f>
        <v>-8506.5342296414237</v>
      </c>
      <c r="F1052" s="30">
        <f ca="1">IF(F123&lt;1,-(F308+F494+F680+F866),-(F308+F494+'3. General Model Inputs'!$D$53*F680+F866)/F123)</f>
        <v>-8719.1975853824588</v>
      </c>
      <c r="G1052" s="30">
        <f ca="1">IF(G123&lt;1,-(G308+G494+G680+G866),-(G308+G494+'3. General Model Inputs'!$D$53*G680+G866)/G123)</f>
        <v>-8937.1775250170213</v>
      </c>
      <c r="H1052" s="30">
        <f ca="1">IF(H123&lt;1,-(H308+H494+H680+H866),-(H308+H494+'3. General Model Inputs'!$D$53*H680+H866)/H123)</f>
        <v>-9160.6069631424471</v>
      </c>
    </row>
    <row r="1053" spans="2:8">
      <c r="B1053" s="152">
        <f t="shared" si="213"/>
        <v>0</v>
      </c>
      <c r="D1053" s="30">
        <f ca="1">IF(D124&lt;1,-(D309+D495+D681+D867),-(D309+D495+'3. General Model Inputs'!$D$53*D681+D867)/D124)</f>
        <v>0</v>
      </c>
      <c r="E1053" s="30">
        <f ca="1">IF(E124&lt;1,-(E309+E495+E681+E867),-(E309+E495+'3. General Model Inputs'!$D$53*E681+E867)/E124)</f>
        <v>0</v>
      </c>
      <c r="F1053" s="30">
        <f ca="1">IF(F124&lt;1,-(F309+F495+F681+F867),-(F309+F495+'3. General Model Inputs'!$D$53*F681+F867)/F124)</f>
        <v>0</v>
      </c>
      <c r="G1053" s="30">
        <f ca="1">IF(G124&lt;1,-(G309+G495+G681+G867),-(G309+G495+'3. General Model Inputs'!$D$53*G681+G867)/G124)</f>
        <v>0</v>
      </c>
      <c r="H1053" s="30">
        <f ca="1">IF(H124&lt;1,-(H309+H495+H681+H867),-(H309+H495+'3. General Model Inputs'!$D$53*H681+H867)/H124)</f>
        <v>-3935.7821875</v>
      </c>
    </row>
    <row r="1054" spans="2:8">
      <c r="B1054" s="152">
        <f t="shared" si="213"/>
        <v>0</v>
      </c>
      <c r="D1054" s="30">
        <f ca="1">IF(D125&lt;1,-(D310+D496+D682+D868),-(D310+D496+'3. General Model Inputs'!$D$53*D682+D868)/D125)</f>
        <v>0</v>
      </c>
      <c r="E1054" s="30">
        <f ca="1">IF(E125&lt;1,-(E310+E496+E682+E868),-(E310+E496+'3. General Model Inputs'!$D$53*E682+E868)/E125)</f>
        <v>0</v>
      </c>
      <c r="F1054" s="30">
        <f ca="1">IF(F125&lt;1,-(F310+F496+F682+F868),-(F310+F496+'3. General Model Inputs'!$D$53*F682+F868)/F125)</f>
        <v>0</v>
      </c>
      <c r="G1054" s="30">
        <f ca="1">IF(G125&lt;1,-(G310+G496+G682+G868),-(G310+G496+'3. General Model Inputs'!$D$53*G682+G868)/G125)</f>
        <v>0</v>
      </c>
      <c r="H1054" s="30">
        <f ca="1">IF(H125&lt;1,-(H310+H496+H682+H868),-(H310+H496+'3. General Model Inputs'!$D$53*H682+H868)/H125)</f>
        <v>-3935.7821875</v>
      </c>
    </row>
    <row r="1055" spans="2:8">
      <c r="B1055" s="152">
        <f t="shared" si="213"/>
        <v>0</v>
      </c>
      <c r="D1055" s="30">
        <f ca="1">IF(D126&lt;1,-(D311+D497+D683+D869),-(D311+D497+'3. General Model Inputs'!$D$53*D683+D869)/D126)</f>
        <v>-33.767138750000001</v>
      </c>
      <c r="E1055" s="30">
        <f ca="1">IF(E126&lt;1,-(E311+E497+E683+E869),-(E311+E497+'3. General Model Inputs'!$D$53*E683+E869)/E126)</f>
        <v>-68.719538178345971</v>
      </c>
      <c r="F1055" s="30">
        <f ca="1">IF(F126&lt;1,-(F311+F497+F683+F869),-(F311+F497+'3. General Model Inputs'!$D$53*F683+F869)/F126)</f>
        <v>-70.437526632804634</v>
      </c>
      <c r="G1055" s="30">
        <f ca="1">IF(G126&lt;1,-(G311+G497+G683+G869),-(G311+G497+'3. General Model Inputs'!$D$53*G683+G869)/G126)</f>
        <v>-72.198464798624755</v>
      </c>
      <c r="H1055" s="30">
        <f ca="1">IF(H126&lt;1,-(H311+H497+H683+H869),-(H311+H497+'3. General Model Inputs'!$D$53*H683+H869)/H126)</f>
        <v>-74.003426418590365</v>
      </c>
    </row>
    <row r="1056" spans="2:8">
      <c r="B1056" s="152">
        <f t="shared" si="213"/>
        <v>0</v>
      </c>
      <c r="D1056" s="30">
        <f ca="1">IF(D127&lt;1,-(D312+D498+D684+D870),-(D312+D498+'3. General Model Inputs'!$D$53*D684+D870)/D127)</f>
        <v>0</v>
      </c>
      <c r="E1056" s="30">
        <f ca="1">IF(E127&lt;1,-(E312+E498+E684+E870),-(E312+E498+'3. General Model Inputs'!$D$53*E684+E870)/E127)</f>
        <v>-770.55399999999997</v>
      </c>
      <c r="F1056" s="30">
        <f ca="1">IF(F127&lt;1,-(F312+F498+F684+F870),-(F312+F498+'3. General Model Inputs'!$D$53*F684+F870)/F127)</f>
        <v>-1568.1552237373735</v>
      </c>
      <c r="G1056" s="30">
        <f ca="1">IF(G127&lt;1,-(G312+G498+G684+G870),-(G312+G498+'3. General Model Inputs'!$D$53*G684+G870)/G127)</f>
        <v>-1607.3591043308077</v>
      </c>
      <c r="H1056" s="30">
        <f ca="1">IF(H127&lt;1,-(H312+H498+H684+H870),-(H312+H498+'3. General Model Inputs'!$D$53*H684+H870)/H127)</f>
        <v>-1647.5430819390779</v>
      </c>
    </row>
    <row r="1057" spans="2:8">
      <c r="B1057" s="152">
        <f t="shared" si="213"/>
        <v>0</v>
      </c>
      <c r="D1057" s="30">
        <f ca="1">IF(D128&lt;1,-(D313+D499+D685+D871),-(D313+D499+'3. General Model Inputs'!$D$53*D685+D871)/D128)</f>
        <v>0</v>
      </c>
      <c r="E1057" s="30">
        <f ca="1">IF(E128&lt;1,-(E313+E499+E685+E871),-(E313+E499+'3. General Model Inputs'!$D$53*E685+E871)/E128)</f>
        <v>0</v>
      </c>
      <c r="F1057" s="30">
        <f ca="1">IF(F128&lt;1,-(F313+F499+F685+F871),-(F313+F499+'3. General Model Inputs'!$D$53*F685+F871)/F128)</f>
        <v>0</v>
      </c>
      <c r="G1057" s="30">
        <f ca="1">IF(G128&lt;1,-(G313+G499+G685+G871),-(G313+G499+'3. General Model Inputs'!$D$53*G685+G871)/G128)</f>
        <v>0</v>
      </c>
      <c r="H1057" s="30">
        <f ca="1">IF(H128&lt;1,-(H313+H499+H685+H871),-(H313+H499+'3. General Model Inputs'!$D$53*H685+H871)/H128)</f>
        <v>-1464.479</v>
      </c>
    </row>
    <row r="1058" spans="2:8">
      <c r="B1058" s="152">
        <f t="shared" si="213"/>
        <v>0</v>
      </c>
      <c r="D1058" s="30">
        <f ca="1">IF(D129&lt;1,-(D314+D500+D686+D872),-(D314+D500+'3. General Model Inputs'!$D$53*D686+D872)/D129)</f>
        <v>-7297.9595125000005</v>
      </c>
      <c r="E1058" s="30">
        <f ca="1">IF(E129&lt;1,-(E314+E500+E686+E872),-(E314+E500+'3. General Model Inputs'!$D$53*E686+E872)/E129)</f>
        <v>-15589.25240309028</v>
      </c>
      <c r="F1058" s="30">
        <f ca="1">IF(F129&lt;1,-(F314+F500+F686+F872),-(F314+F500+'3. General Model Inputs'!$D$53*F686+F872)/F129)</f>
        <v>-15978.983713167538</v>
      </c>
      <c r="G1058" s="30">
        <f ca="1">IF(G129&lt;1,-(G314+G500+G686+G872),-(G314+G500+'3. General Model Inputs'!$D$53*G686+G872)/G129)</f>
        <v>-16378.458305996724</v>
      </c>
      <c r="H1058" s="30">
        <f ca="1">IF(H129&lt;1,-(H314+H500+H686+H872),-(H314+H500+'3. General Model Inputs'!$D$53*H686+H872)/H129)</f>
        <v>-16787.919763646642</v>
      </c>
    </row>
    <row r="1059" spans="2:8">
      <c r="B1059" s="152">
        <f t="shared" si="213"/>
        <v>0</v>
      </c>
      <c r="D1059" s="30">
        <f ca="1">IF(D130&lt;1,-(D315+D501+D687+D873),-(D315+D501+'3. General Model Inputs'!$D$53*D687+D873)/D130)</f>
        <v>-2542.8968749999999</v>
      </c>
      <c r="E1059" s="30">
        <f ca="1">IF(E130&lt;1,-(E315+E501+E687+E873),-(E315+E501+'3. General Model Inputs'!$D$53*E687+E873)/E130)</f>
        <v>-5785.0903906250005</v>
      </c>
      <c r="F1059" s="30">
        <f ca="1">IF(F130&lt;1,-(F315+F501+F687+F873),-(F315+F501+'3. General Model Inputs'!$D$53*F687+F873)/F130)</f>
        <v>-5929.7176503906257</v>
      </c>
      <c r="G1059" s="30">
        <f ca="1">IF(G130&lt;1,-(G315+G501+G687+G873),-(G315+G501+'3. General Model Inputs'!$D$53*G687+G873)/G130)</f>
        <v>-6077.9605916503906</v>
      </c>
      <c r="H1059" s="30">
        <f ca="1">IF(H130&lt;1,-(H315+H501+H687+H873),-(H315+H501+'3. General Model Inputs'!$D$53*H687+H873)/H130)</f>
        <v>-6229.9096064416508</v>
      </c>
    </row>
    <row r="1060" spans="2:8">
      <c r="B1060" s="152">
        <f t="shared" si="213"/>
        <v>0</v>
      </c>
      <c r="D1060" s="30">
        <f ca="1">IF(D131&lt;1,-(D316+D502+D688+D874),-(D316+D502+'3. General Model Inputs'!$D$53*D688+D874)/D131)</f>
        <v>0</v>
      </c>
      <c r="E1060" s="30">
        <f ca="1">IF(E131&lt;1,-(E316+E502+E688+E874),-(E316+E502+'3. General Model Inputs'!$D$53*E688+E874)/E131)</f>
        <v>-7345.833333333333</v>
      </c>
      <c r="F1060" s="30">
        <f ca="1">IF(F131&lt;1,-(F316+F502+F688+F874),-(F316+F502+'3. General Model Inputs'!$D$53*F688+F874)/F131)</f>
        <v>-15400.01488095238</v>
      </c>
      <c r="G1060" s="30">
        <f ca="1">IF(G131&lt;1,-(G316+G502+G688+G874),-(G316+G502+'3. General Model Inputs'!$D$53*G688+G874)/G131)</f>
        <v>-15785.015252976191</v>
      </c>
      <c r="H1060" s="30">
        <f ca="1">IF(H131&lt;1,-(H316+H502+H688+H874),-(H316+H502+'3. General Model Inputs'!$D$53*H688+H874)/H131)</f>
        <v>-16179.640634300595</v>
      </c>
    </row>
    <row r="1061" spans="2:8">
      <c r="B1061" s="152">
        <f t="shared" si="213"/>
        <v>0</v>
      </c>
      <c r="D1061" s="30">
        <f ca="1">IF(D132&lt;1,-(D317+D503+D689+D875),-(D317+D503+'3. General Model Inputs'!$D$53*D689+D875)/D132)</f>
        <v>-58937.840299999996</v>
      </c>
      <c r="E1061" s="30">
        <f ca="1">IF(E132&lt;1,-(E317+E503+E689+E875),-(E317+E503+'3. General Model Inputs'!$D$53*E689+E875)/E132)</f>
        <v>-134083.5866825</v>
      </c>
      <c r="F1061" s="30">
        <f ca="1">IF(F132&lt;1,-(F317+F503+F689+F875),-(F317+F503+'3. General Model Inputs'!$D$53*F689+F875)/F132)</f>
        <v>-137435.67634956251</v>
      </c>
      <c r="G1061" s="30">
        <f ca="1">IF(G132&lt;1,-(G317+G503+G689+G875),-(G317+G503+'3. General Model Inputs'!$D$53*G689+G875)/G132)</f>
        <v>-140871.56825830159</v>
      </c>
      <c r="H1061" s="30">
        <f ca="1">IF(H132&lt;1,-(H317+H503+H689+H875),-(H317+H503+'3. General Model Inputs'!$D$53*H689+H875)/H132)</f>
        <v>-144393.35746475912</v>
      </c>
    </row>
    <row r="1062" spans="2:8">
      <c r="B1062" s="152">
        <f t="shared" si="213"/>
        <v>0</v>
      </c>
      <c r="D1062" s="30">
        <f ca="1">IF(D133&lt;1,-(D318+D504+D690+D876),-(D318+D504+'3. General Model Inputs'!$D$53*D690+D876)/D133)</f>
        <v>0</v>
      </c>
      <c r="E1062" s="30">
        <f ca="1">IF(E133&lt;1,-(E318+E504+E690+E876),-(E318+E504+'3. General Model Inputs'!$D$53*E690+E876)/E133)</f>
        <v>-42998.750000000007</v>
      </c>
      <c r="F1062" s="30">
        <f ca="1">IF(F133&lt;1,-(F318+F504+F690+F876),-(F318+F504+'3. General Model Inputs'!$D$53*F690+F876)/F133)</f>
        <v>-97822.156250000015</v>
      </c>
      <c r="G1062" s="30">
        <f ca="1">IF(G133&lt;1,-(G318+G504+G690+G876),-(G318+G504+'3. General Model Inputs'!$D$53*G690+G876)/G133)</f>
        <v>-100267.71015625003</v>
      </c>
      <c r="H1062" s="30">
        <f ca="1">IF(H133&lt;1,-(H318+H504+H690+H876),-(H318+H504+'3. General Model Inputs'!$D$53*H690+H876)/H133)</f>
        <v>-102774.40291015626</v>
      </c>
    </row>
    <row r="1063" spans="2:8">
      <c r="B1063" s="152">
        <f t="shared" si="213"/>
        <v>0</v>
      </c>
      <c r="D1063" s="30">
        <f ca="1">IF(D134&lt;1,-(D319+D505+D691+D877),-(D319+D505+'3. General Model Inputs'!$D$53*D691+D877)/D134)</f>
        <v>0</v>
      </c>
      <c r="E1063" s="30">
        <f ca="1">IF(E134&lt;1,-(E319+E505+E691+E877),-(E319+E505+'3. General Model Inputs'!$D$53*E691+E877)/E134)</f>
        <v>0</v>
      </c>
      <c r="F1063" s="30">
        <f ca="1">IF(F134&lt;1,-(F319+F505+F691+F877),-(F319+F505+'3. General Model Inputs'!$D$53*F691+F877)/F134)</f>
        <v>-46125</v>
      </c>
      <c r="G1063" s="30">
        <f ca="1">IF(G134&lt;1,-(G319+G505+G691+G877),-(G319+G505+'3. General Model Inputs'!$D$53*G691+G877)/G134)</f>
        <v>-104934.375</v>
      </c>
      <c r="H1063" s="30">
        <f ca="1">IF(H134&lt;1,-(H319+H505+H691+H877),-(H319+H505+'3. General Model Inputs'!$D$53*H691+H877)/H134)</f>
        <v>-107557.734375</v>
      </c>
    </row>
    <row r="1064" spans="2:8">
      <c r="B1064" s="152">
        <f t="shared" si="213"/>
        <v>0</v>
      </c>
      <c r="D1064" s="30">
        <f ca="1">IF(D135&lt;1,-(D320+D506+D692+D878),-(D320+D506+'3. General Model Inputs'!$D$53*D692+D878)/D135)</f>
        <v>0</v>
      </c>
      <c r="E1064" s="30">
        <f ca="1">IF(E135&lt;1,-(E320+E506+E692+E878),-(E320+E506+'3. General Model Inputs'!$D$53*E692+E878)/E135)</f>
        <v>0</v>
      </c>
      <c r="F1064" s="30">
        <f ca="1">IF(F135&lt;1,-(F320+F506+F692+F878),-(F320+F506+'3. General Model Inputs'!$D$53*F692+F878)/F135)</f>
        <v>0</v>
      </c>
      <c r="G1064" s="30">
        <f ca="1">IF(G135&lt;1,-(G320+G506+G692+G878),-(G320+G506+'3. General Model Inputs'!$D$53*G692+G878)/G135)</f>
        <v>-46125</v>
      </c>
      <c r="H1064" s="30">
        <f ca="1">IF(H135&lt;1,-(H320+H506+H692+H878),-(H320+H506+'3. General Model Inputs'!$D$53*H692+H878)/H135)</f>
        <v>-104934.375</v>
      </c>
    </row>
    <row r="1065" spans="2:8">
      <c r="B1065" s="152">
        <f t="shared" si="213"/>
        <v>0</v>
      </c>
      <c r="D1065" s="30">
        <f ca="1">IF(D136&lt;1,-(D321+D507+D693+D879),-(D321+D507+'3. General Model Inputs'!$D$53*D693+D879)/D136)</f>
        <v>0</v>
      </c>
      <c r="E1065" s="30">
        <f ca="1">IF(E136&lt;1,-(E321+E507+E693+E879),-(E321+E507+'3. General Model Inputs'!$D$53*E693+E879)/E136)</f>
        <v>0</v>
      </c>
      <c r="F1065" s="30">
        <f ca="1">IF(F136&lt;1,-(F321+F507+F693+F879),-(F321+F507+'3. General Model Inputs'!$D$53*F693+F879)/F136)</f>
        <v>0</v>
      </c>
      <c r="G1065" s="30">
        <f ca="1">IF(G136&lt;1,-(G321+G507+G693+G879),-(G321+G507+'3. General Model Inputs'!$D$53*G693+G879)/G136)</f>
        <v>0</v>
      </c>
      <c r="H1065" s="30">
        <f ca="1">IF(H136&lt;1,-(H321+H507+H693+H879),-(H321+H507+'3. General Model Inputs'!$D$53*H693+H879)/H136)</f>
        <v>-46125</v>
      </c>
    </row>
    <row r="1066" spans="2:8">
      <c r="B1066" s="152">
        <f t="shared" si="213"/>
        <v>0</v>
      </c>
      <c r="D1066" s="30">
        <f ca="1">IF(D137&lt;1,-(D322+D508+D694+D880),-(D322+D508+'3. General Model Inputs'!$D$53*D694+D880)/D137)</f>
        <v>-50738.801749999999</v>
      </c>
      <c r="E1066" s="30">
        <f ca="1">IF(E137&lt;1,-(E322+E508+E694+E880),-(E322+E508+'3. General Model Inputs'!$D$53*E694+E880)/E137)</f>
        <v>-115430.77398125001</v>
      </c>
      <c r="F1066" s="30">
        <f ca="1">IF(F137&lt;1,-(F322+F508+F694+F880),-(F322+F508+'3. General Model Inputs'!$D$53*F694+F880)/F137)</f>
        <v>-118316.54333078126</v>
      </c>
      <c r="G1066" s="30">
        <f ca="1">IF(G137&lt;1,-(G322+G508+G694+G880),-(G322+G508+'3. General Model Inputs'!$D$53*G694+G880)/G137)</f>
        <v>-121274.45691405078</v>
      </c>
      <c r="H1066" s="30">
        <f ca="1">IF(H137&lt;1,-(H322+H508+H694+H880),-(H322+H508+'3. General Model Inputs'!$D$53*H694+H880)/H137)</f>
        <v>-124306.31833690206</v>
      </c>
    </row>
    <row r="1067" spans="2:8">
      <c r="B1067" s="152">
        <f t="shared" si="213"/>
        <v>0</v>
      </c>
      <c r="D1067" s="30">
        <f ca="1">IF(D138&lt;1,-(D323+D509+D695+D881),-(D323+D509+'3. General Model Inputs'!$D$53*D695+D881)/D138)</f>
        <v>-19716.502043750006</v>
      </c>
      <c r="E1067" s="30">
        <f ca="1">IF(E138&lt;1,-(E323+E509+E695+E881),-(E323+E509+'3. General Model Inputs'!$D$53*E695+E881)/E138)</f>
        <v>-40963.627272475336</v>
      </c>
      <c r="F1067" s="30">
        <f ca="1">IF(F138&lt;1,-(F323+F509+F695+F881),-(F323+F509+'3. General Model Inputs'!$D$53*F695+F881)/F138)</f>
        <v>-41987.717954287225</v>
      </c>
      <c r="G1067" s="30">
        <f ca="1">IF(G138&lt;1,-(G323+G509+G695+G881),-(G323+G509+'3. General Model Inputs'!$D$53*G695+G881)/G138)</f>
        <v>-43037.41090314441</v>
      </c>
      <c r="H1067" s="30">
        <f ca="1">IF(H138&lt;1,-(H323+H509+H695+H881),-(H323+H509+'3. General Model Inputs'!$D$53*H695+H881)/H138)</f>
        <v>-44113.346175723018</v>
      </c>
    </row>
    <row r="1068" spans="2:8">
      <c r="B1068" s="152">
        <f t="shared" si="213"/>
        <v>0</v>
      </c>
      <c r="D1068" s="30">
        <f ca="1">IF(D139&lt;1,-(D324+D510+D696+D882),-(D324+D510+'3. General Model Inputs'!$D$53*D696+D882)/D139)</f>
        <v>0</v>
      </c>
      <c r="E1068" s="30">
        <f ca="1">IF(E139&lt;1,-(E324+E510+E696+E882),-(E324+E510+'3. General Model Inputs'!$D$53*E696+E882)/E139)</f>
        <v>-12530.616287499999</v>
      </c>
      <c r="F1068" s="30">
        <f ca="1">IF(F139&lt;1,-(F324+F510+F696+F882),-(F324+F510+'3. General Model Inputs'!$D$53*F696+F882)/F139)</f>
        <v>-26034.004102582236</v>
      </c>
      <c r="G1068" s="30">
        <f ca="1">IF(G139&lt;1,-(G324+G510+G696+G882),-(G324+G510+'3. General Model Inputs'!$D$53*G696+G882)/G139)</f>
        <v>-26684.854205146792</v>
      </c>
      <c r="H1068" s="30">
        <f ca="1">IF(H139&lt;1,-(H324+H510+H696+H882),-(H324+H510+'3. General Model Inputs'!$D$53*H696+H882)/H139)</f>
        <v>-27351.975560275459</v>
      </c>
    </row>
    <row r="1069" spans="2:8">
      <c r="B1069" s="152">
        <f t="shared" si="213"/>
        <v>0</v>
      </c>
      <c r="D1069" s="30">
        <f ca="1">IF(D140&lt;1,-(D325+D511+D697+D883),-(D325+D511+'3. General Model Inputs'!$D$53*D697+D883)/D140)</f>
        <v>53.79524583333334</v>
      </c>
      <c r="E1069" s="30">
        <f ca="1">IF(E140&lt;1,-(E325+E511+E697+E883),-(E325+E511+'3. General Model Inputs'!$D$53*E697+E883)/E140)</f>
        <v>110.79038128951152</v>
      </c>
      <c r="F1069" s="30">
        <f ca="1">IF(F140&lt;1,-(F325+F511+F697+F883),-(F325+F511+'3. General Model Inputs'!$D$53*F697+F883)/F140)</f>
        <v>113.5601408217493</v>
      </c>
      <c r="G1069" s="30">
        <f ca="1">IF(G140&lt;1,-(G325+G511+G697+G883),-(G325+G511+'3. General Model Inputs'!$D$53*G697+G883)/G140)</f>
        <v>116.39914434229303</v>
      </c>
      <c r="H1069" s="30">
        <f ca="1">IF(H140&lt;1,-(H325+H511+H697+H883),-(H325+H511+'3. General Model Inputs'!$D$53*H697+H883)/H140)</f>
        <v>119.30912295085037</v>
      </c>
    </row>
    <row r="1070" spans="2:8">
      <c r="B1070" s="152">
        <f t="shared" si="213"/>
        <v>0</v>
      </c>
      <c r="D1070" s="30">
        <f ca="1">IF(D141&lt;1,-(D326+D512+D698+D884),-(D326+D512+'3. General Model Inputs'!$D$53*D698+D884)/D141)</f>
        <v>-6666.4272874999997</v>
      </c>
      <c r="E1070" s="30">
        <f ca="1">IF(E141&lt;1,-(E326+E512+E698+E884),-(E326+E512+'3. General Model Inputs'!$D$53*E698+E884)/E141)</f>
        <v>-13850.379851266447</v>
      </c>
      <c r="F1070" s="30">
        <f ca="1">IF(F141&lt;1,-(F326+F512+F698+F884),-(F326+F512+'3. General Model Inputs'!$D$53*F698+F884)/F141)</f>
        <v>-14196.639347548109</v>
      </c>
      <c r="G1070" s="30">
        <f ca="1">IF(G141&lt;1,-(G326+G512+G698+G884),-(G326+G512+'3. General Model Inputs'!$D$53*G698+G884)/G141)</f>
        <v>-14551.555331236812</v>
      </c>
      <c r="H1070" s="30">
        <f ca="1">IF(H141&lt;1,-(H326+H512+H698+H884),-(H326+H512+'3. General Model Inputs'!$D$53*H698+H884)/H141)</f>
        <v>-14915.344214517732</v>
      </c>
    </row>
    <row r="1071" spans="2:8">
      <c r="B1071" s="152">
        <f t="shared" si="213"/>
        <v>0</v>
      </c>
      <c r="D1071" s="30">
        <f ca="1">IF(D142&lt;1,-(D327+D513+D699+D885),-(D327+D513+'3. General Model Inputs'!$D$53*D699+D885)/D142)</f>
        <v>-121.420603125</v>
      </c>
      <c r="E1071" s="30">
        <f ca="1">IF(E142&lt;1,-(E327+E513+E699+E885),-(E327+E513+'3. General Model Inputs'!$D$53*E699+E885)/E142)</f>
        <v>-248.99007012620191</v>
      </c>
      <c r="F1071" s="30">
        <f ca="1">IF(F142&lt;1,-(F327+F513+F699+F885),-(F327+F513+'3. General Model Inputs'!$D$53*F699+F885)/F142)</f>
        <v>-255.21482187935698</v>
      </c>
      <c r="G1071" s="30">
        <f ca="1">IF(G142&lt;1,-(G327+G513+G699+G885),-(G327+G513+'3. General Model Inputs'!$D$53*G699+G885)/G142)</f>
        <v>-261.59519242634087</v>
      </c>
      <c r="H1071" s="30">
        <f ca="1">IF(H142&lt;1,-(H327+H513+H699+H885),-(H327+H513+'3. General Model Inputs'!$D$53*H699+H885)/H142)</f>
        <v>-268.13507223699941</v>
      </c>
    </row>
    <row r="1072" spans="2:8">
      <c r="B1072" s="152">
        <f t="shared" si="213"/>
        <v>0</v>
      </c>
      <c r="D1072" s="30">
        <f ca="1">IF(D143&lt;1,-(D328+D514+D700+D886),-(D328+D514+'3. General Model Inputs'!$D$53*D700+D886)/D143)</f>
        <v>-868.45243333333349</v>
      </c>
      <c r="E1072" s="30">
        <f ca="1">IF(E143&lt;1,-(E328+E514+E700+E886),-(E328+E514+'3. General Model Inputs'!$D$53*E700+E886)/E143)</f>
        <v>-1788.5628131321841</v>
      </c>
      <c r="F1072" s="30">
        <f ca="1">IF(F143&lt;1,-(F328+F514+F700+F886),-(F328+F514+'3. General Model Inputs'!$D$53*F700+F886)/F143)</f>
        <v>-1833.2768834604888</v>
      </c>
      <c r="G1072" s="30">
        <f ca="1">IF(G143&lt;1,-(G328+G514+G700+G886),-(G328+G514+'3. General Model Inputs'!$D$53*G700+G886)/G143)</f>
        <v>-1879.1088055470011</v>
      </c>
      <c r="H1072" s="30">
        <f ca="1">IF(H143&lt;1,-(H328+H514+H700+H886),-(H328+H514+'3. General Model Inputs'!$D$53*H700+H886)/H143)</f>
        <v>-1926.0865256856762</v>
      </c>
    </row>
    <row r="1073" spans="2:8">
      <c r="B1073" s="152">
        <f t="shared" si="213"/>
        <v>0</v>
      </c>
      <c r="D1073" s="30">
        <f ca="1">IF(D144&lt;1,-(D329+D515+D701+D887),-(D329+D515+'3. General Model Inputs'!$D$53*D701+D887)/D144)</f>
        <v>256.94961375000003</v>
      </c>
      <c r="E1073" s="30">
        <f ca="1">IF(E144&lt;1,-(E329+E515+E701+E887),-(E329+E515+'3. General Model Inputs'!$D$53*E701+E887)/E144)</f>
        <v>522.91841848768945</v>
      </c>
      <c r="F1073" s="30">
        <f ca="1">IF(F144&lt;1,-(F329+F515+F701+F887),-(F329+F515+'3. General Model Inputs'!$D$53*F701+F887)/F144)</f>
        <v>535.99137894988166</v>
      </c>
      <c r="G1073" s="30">
        <f ca="1">IF(G144&lt;1,-(G329+G515+G701+G887),-(G329+G515+'3. General Model Inputs'!$D$53*G701+G887)/G144)</f>
        <v>549.39116342362865</v>
      </c>
      <c r="H1073" s="30">
        <f ca="1">IF(H144&lt;1,-(H329+H515+H701+H887),-(H329+H515+'3. General Model Inputs'!$D$53*H701+H887)/H144)</f>
        <v>563.12594250921939</v>
      </c>
    </row>
    <row r="1074" spans="2:8">
      <c r="B1074" s="152">
        <f t="shared" si="213"/>
        <v>0</v>
      </c>
      <c r="D1074" s="30">
        <f ca="1">IF(D145&lt;1,-(D330+D516+D702+D888),-(D330+D516+'3. General Model Inputs'!$D$53*D702+D888)/D145)</f>
        <v>0</v>
      </c>
      <c r="E1074" s="30">
        <f ca="1">IF(E145&lt;1,-(E330+E516+E702+E888),-(E330+E516+'3. General Model Inputs'!$D$53*E702+E888)/E145)</f>
        <v>-2098.5798749999999</v>
      </c>
      <c r="F1074" s="30">
        <f ca="1">IF(F145&lt;1,-(F330+F516+F702+F888),-(F330+F516+'3. General Model Inputs'!$D$53*F702+F888)/F145)</f>
        <v>-4270.8220233901511</v>
      </c>
      <c r="G1074" s="30">
        <f ca="1">IF(G145&lt;1,-(G330+G516+G702+G888),-(G330+G516+'3. General Model Inputs'!$D$53*G702+G888)/G145)</f>
        <v>-4377.5925739749055</v>
      </c>
      <c r="H1074" s="30">
        <f ca="1">IF(H145&lt;1,-(H330+H516+H702+H888),-(H330+H516+'3. General Model Inputs'!$D$53*H702+H888)/H145)</f>
        <v>-4487.0323883242772</v>
      </c>
    </row>
    <row r="1075" spans="2:8">
      <c r="B1075" s="152">
        <f t="shared" si="213"/>
        <v>0</v>
      </c>
      <c r="D1075" s="30">
        <f ca="1">IF(D146&lt;1,-(D331+D517+D703+D889),-(D331+D517+'3. General Model Inputs'!$D$53*D703+D889)/D146)</f>
        <v>-20.335103124999996</v>
      </c>
      <c r="E1075" s="30">
        <f ca="1">IF(E146&lt;1,-(E331+E517+E703+E889),-(E331+E517+'3. General Model Inputs'!$D$53*E703+E889)/E146)</f>
        <v>-41.435990196795878</v>
      </c>
      <c r="F1075" s="30">
        <f ca="1">IF(F146&lt;1,-(F331+F517+F703+F889),-(F331+F517+'3. General Model Inputs'!$D$53*F703+F889)/F146)</f>
        <v>-42.471889951715781</v>
      </c>
      <c r="G1075" s="30">
        <f ca="1">IF(G146&lt;1,-(G331+G517+G703+G889),-(G331+G517+'3. General Model Inputs'!$D$53*G703+G889)/G146)</f>
        <v>-43.533687200508673</v>
      </c>
      <c r="H1075" s="30">
        <f ca="1">IF(H146&lt;1,-(H331+H517+H703+H889),-(H331+H517+'3. General Model Inputs'!$D$53*H703+H889)/H146)</f>
        <v>-44.62202938052139</v>
      </c>
    </row>
    <row r="1076" spans="2:8">
      <c r="B1076" s="152">
        <f t="shared" si="213"/>
        <v>0</v>
      </c>
      <c r="D1076" s="30">
        <f ca="1">IF(D147&lt;1,-(D332+D518+D704+D890),-(D332+D518+'3. General Model Inputs'!$D$53*D704+D890)/D147)</f>
        <v>-8210.1106</v>
      </c>
      <c r="E1076" s="30">
        <f ca="1">IF(E147&lt;1,-(E332+E518+E704+E890),-(E332+E518+'3. General Model Inputs'!$D$53*E704+E890)/E147)</f>
        <v>-17537.708476111111</v>
      </c>
      <c r="F1076" s="30">
        <f ca="1">IF(F147&lt;1,-(F332+F518+F704+F890),-(F332+F518+'3. General Model Inputs'!$D$53*F704+F890)/F147)</f>
        <v>-17976.15118801389</v>
      </c>
      <c r="G1076" s="30">
        <f ca="1">IF(G147&lt;1,-(G332+G518+G704+G890),-(G332+G518+'3. General Model Inputs'!$D$53*G704+G890)/G147)</f>
        <v>-18425.554967714237</v>
      </c>
      <c r="H1076" s="30">
        <f ca="1">IF(H147&lt;1,-(H332+H518+H704+H890),-(H332+H518+'3. General Model Inputs'!$D$53*H704+H890)/H147)</f>
        <v>-18886.19384190709</v>
      </c>
    </row>
    <row r="1077" spans="2:8">
      <c r="B1077" s="152">
        <f t="shared" si="213"/>
        <v>0</v>
      </c>
      <c r="D1077" s="30">
        <f ca="1">IF(D148&lt;1,-(D333+D519+D705+D891),-(D333+D519+'3. General Model Inputs'!$D$53*D705+D891)/D148)</f>
        <v>0</v>
      </c>
      <c r="E1077" s="30">
        <f ca="1">IF(E148&lt;1,-(E333+E519+E705+E891),-(E333+E519+'3. General Model Inputs'!$D$53*E705+E891)/E148)</f>
        <v>-3424.7248749999999</v>
      </c>
      <c r="F1077" s="30">
        <f ca="1">IF(F148&lt;1,-(F333+F519+F705+F891),-(F333+F519+'3. General Model Inputs'!$D$53*F705+F891)/F148)</f>
        <v>-7315.5928579861111</v>
      </c>
      <c r="G1077" s="30">
        <f ca="1">IF(G148&lt;1,-(G333+G519+G705+G891),-(G333+G519+'3. General Model Inputs'!$D$53*G705+G891)/G148)</f>
        <v>-7498.4826794357641</v>
      </c>
      <c r="H1077" s="30">
        <f ca="1">IF(H148&lt;1,-(H333+H519+H705+H891),-(H333+H519+'3. General Model Inputs'!$D$53*H705+H891)/H148)</f>
        <v>-7685.9447464216582</v>
      </c>
    </row>
    <row r="1078" spans="2:8">
      <c r="B1078" s="152">
        <f t="shared" si="213"/>
        <v>0</v>
      </c>
      <c r="D1078" s="30">
        <f ca="1">IF(D149&lt;1,-(D334+D520+D706+D892),-(D334+D520+'3. General Model Inputs'!$D$53*D706+D892)/D149)</f>
        <v>-3356.3714687500005</v>
      </c>
      <c r="E1078" s="30">
        <f ca="1">IF(E149&lt;1,-(E334+E520+E706+E892),-(E334+E520+'3. General Model Inputs'!$D$53*E706+E892)/E149)</f>
        <v>-6882.7130311097762</v>
      </c>
      <c r="F1078" s="30">
        <f ca="1">IF(F149&lt;1,-(F334+F520+F706+F892),-(F334+F520+'3. General Model Inputs'!$D$53*F706+F892)/F149)</f>
        <v>-7054.7808568875207</v>
      </c>
      <c r="G1078" s="30">
        <f ca="1">IF(G149&lt;1,-(G334+G520+G706+G892),-(G334+G520+'3. General Model Inputs'!$D$53*G706+G892)/G149)</f>
        <v>-7231.1503783097078</v>
      </c>
      <c r="H1078" s="30">
        <f ca="1">IF(H149&lt;1,-(H334+H520+H706+H892),-(H334+H520+'3. General Model Inputs'!$D$53*H706+H892)/H149)</f>
        <v>-7411.9291377674508</v>
      </c>
    </row>
    <row r="1079" spans="2:8">
      <c r="B1079" s="152">
        <f t="shared" si="213"/>
        <v>0</v>
      </c>
      <c r="D1079" s="30">
        <f ca="1">IF(D150&lt;1,-(D335+D521+D707+D893),-(D335+D521+'3. General Model Inputs'!$D$53*D707+D893)/D150)</f>
        <v>0</v>
      </c>
      <c r="E1079" s="30">
        <f ca="1">IF(E150&lt;1,-(E335+E521+E707+E893),-(E335+E521+'3. General Model Inputs'!$D$53*E707+E893)/E150)</f>
        <v>170.12578437500014</v>
      </c>
      <c r="F1079" s="30">
        <f ca="1">IF(F150&lt;1,-(F335+F521+F707+F893),-(F335+F521+'3. General Model Inputs'!$D$53*F707+F893)/F150)</f>
        <v>348.86691295873425</v>
      </c>
      <c r="G1079" s="30">
        <f ca="1">IF(G150&lt;1,-(G335+G521+G707+G893),-(G335+G521+'3. General Model Inputs'!$D$53*G707+G893)/G150)</f>
        <v>357.58858578270264</v>
      </c>
      <c r="H1079" s="30">
        <f ca="1">IF(H150&lt;1,-(H335+H521+H707+H893),-(H335+H521+'3. General Model Inputs'!$D$53*H707+H893)/H150)</f>
        <v>366.52830042727015</v>
      </c>
    </row>
    <row r="1080" spans="2:8">
      <c r="B1080" s="152">
        <f t="shared" ref="B1080:B1133" si="214">B894</f>
        <v>0</v>
      </c>
      <c r="D1080" s="30">
        <f ca="1">IF(D151&lt;1,-(D336+D522+D708+D894),-(D336+D522+'3. General Model Inputs'!$D$53*D708+D894)/D151)</f>
        <v>9.0815000000000001</v>
      </c>
      <c r="E1080" s="30">
        <f ca="1">IF(E151&lt;1,-(E336+E522+E708+E894),-(E336+E522+'3. General Model Inputs'!$D$53*E708+E894)/E151)</f>
        <v>18.703192672413792</v>
      </c>
      <c r="F1080" s="30">
        <f ca="1">IF(F151&lt;1,-(F336+F522+F708+F894),-(F336+F522+'3. General Model Inputs'!$D$53*F708+F894)/F151)</f>
        <v>19.170772489224138</v>
      </c>
      <c r="G1080" s="30">
        <f ca="1">IF(G151&lt;1,-(G336+G522+G708+G894),-(G336+G522+'3. General Model Inputs'!$D$53*G708+G894)/G151)</f>
        <v>19.650041801454741</v>
      </c>
      <c r="H1080" s="30">
        <f ca="1">IF(H151&lt;1,-(H336+H522+H708+H894),-(H336+H522+'3. General Model Inputs'!$D$53*H708+H894)/H151)</f>
        <v>20.141292846491108</v>
      </c>
    </row>
    <row r="1081" spans="2:8">
      <c r="B1081" s="152">
        <f t="shared" si="214"/>
        <v>0</v>
      </c>
      <c r="D1081" s="30">
        <f ca="1">IF(D152&lt;1,-(D337+D523+D709+D895),-(D337+D523+'3. General Model Inputs'!$D$53*D709+D895)/D152)</f>
        <v>-332.19412916666664</v>
      </c>
      <c r="E1081" s="30">
        <f ca="1">IF(E152&lt;1,-(E337+E523+E709+E895),-(E337+E523+'3. General Model Inputs'!$D$53*E709+E895)/E152)</f>
        <v>-684.14808153376441</v>
      </c>
      <c r="F1081" s="30">
        <f ca="1">IF(F152&lt;1,-(F337+F523+F709+F895),-(F337+F523+'3. General Model Inputs'!$D$53*F709+F895)/F152)</f>
        <v>-701.25178357210848</v>
      </c>
      <c r="G1081" s="30">
        <f ca="1">IF(G152&lt;1,-(G337+G523+G709+G895),-(G337+G523+'3. General Model Inputs'!$D$53*G709+G895)/G152)</f>
        <v>-718.78307816141114</v>
      </c>
      <c r="H1081" s="30">
        <f ca="1">IF(H152&lt;1,-(H337+H523+H709+H895),-(H337+H523+'3. General Model Inputs'!$D$53*H709+H895)/H152)</f>
        <v>-736.75265511544649</v>
      </c>
    </row>
    <row r="1082" spans="2:8">
      <c r="B1082" s="152">
        <f t="shared" si="214"/>
        <v>0</v>
      </c>
      <c r="D1082" s="30">
        <f ca="1">IF(D153&lt;1,-(D338+D524+D710+D896),-(D338+D524+'3. General Model Inputs'!$D$53*D710+D896)/D153)</f>
        <v>-65.753749999999997</v>
      </c>
      <c r="E1082" s="30">
        <f ca="1">IF(E153&lt;1,-(E338+E524+E710+E896),-(E338+E524+'3. General Model Inputs'!$D$53*E710+E896)/E153)</f>
        <v>-135.41871443965516</v>
      </c>
      <c r="F1082" s="30">
        <f ca="1">IF(F153&lt;1,-(F338+F524+F710+F896),-(F338+F524+'3. General Model Inputs'!$D$53*F710+F896)/F153)</f>
        <v>-138.80418230064654</v>
      </c>
      <c r="G1082" s="30">
        <f ca="1">IF(G153&lt;1,-(G338+G524+G710+G896),-(G338+G524+'3. General Model Inputs'!$D$53*G710+G896)/G153)</f>
        <v>-142.27428685816272</v>
      </c>
      <c r="H1082" s="30">
        <f ca="1">IF(H153&lt;1,-(H338+H524+H710+H896),-(H338+H524+'3. General Model Inputs'!$D$53*H710+H896)/H153)</f>
        <v>-145.83114402961681</v>
      </c>
    </row>
    <row r="1083" spans="2:8">
      <c r="B1083" s="152">
        <f t="shared" si="214"/>
        <v>0</v>
      </c>
      <c r="D1083" s="30">
        <f ca="1">IF(D154&lt;1,-(D339+D525+D711+D897),-(D339+D525+'3. General Model Inputs'!$D$53*D711+D897)/D154)</f>
        <v>0</v>
      </c>
      <c r="E1083" s="30">
        <f ca="1">IF(E154&lt;1,-(E339+E525+E711+E897),-(E339+E525+'3. General Model Inputs'!$D$53*E711+E897)/E154)</f>
        <v>-19.138970833333335</v>
      </c>
      <c r="F1083" s="30">
        <f ca="1">IF(F154&lt;1,-(F339+F525+F711+F897),-(F339+F525+'3. General Model Inputs'!$D$53*F711+F897)/F154)</f>
        <v>-39.416380448994246</v>
      </c>
      <c r="G1083" s="30">
        <f ca="1">IF(G154&lt;1,-(G339+G525+G711+G897),-(G339+G525+'3. General Model Inputs'!$D$53*G711+G897)/G154)</f>
        <v>-40.401789960219105</v>
      </c>
      <c r="H1083" s="30">
        <f ca="1">IF(H154&lt;1,-(H339+H525+H711+H897),-(H339+H525+'3. General Model Inputs'!$D$53*H711+H897)/H154)</f>
        <v>-41.411834709224586</v>
      </c>
    </row>
    <row r="1084" spans="2:8">
      <c r="B1084" s="152">
        <f t="shared" si="214"/>
        <v>0</v>
      </c>
      <c r="D1084" s="30">
        <f ca="1">IF(D155&lt;1,-(D340+D526+D712+D898),-(D340+D526+'3. General Model Inputs'!$D$53*D712+D898)/D155)</f>
        <v>0</v>
      </c>
      <c r="E1084" s="30">
        <f ca="1">IF(E155&lt;1,-(E340+E526+E712+E898),-(E340+E526+'3. General Model Inputs'!$D$53*E712+E898)/E155)</f>
        <v>0</v>
      </c>
      <c r="F1084" s="30">
        <f ca="1">IF(F155&lt;1,-(F340+F526+F712+F898),-(F340+F526+'3. General Model Inputs'!$D$53*F712+F898)/F155)</f>
        <v>-85.416666666666671</v>
      </c>
      <c r="G1084" s="30">
        <f ca="1">IF(G155&lt;1,-(G340+G526+G712+G898),-(G340+G526+'3. General Model Inputs'!$D$53*G712+G898)/G155)</f>
        <v>-175.91415229885055</v>
      </c>
      <c r="H1084" s="30">
        <f ca="1">IF(H155&lt;1,-(H340+H526+H712+H898),-(H340+H526+'3. General Model Inputs'!$D$53*H712+H898)/H155)</f>
        <v>-180.31200610632183</v>
      </c>
    </row>
    <row r="1085" spans="2:8">
      <c r="B1085" s="152">
        <f t="shared" si="214"/>
        <v>0</v>
      </c>
      <c r="D1085" s="30">
        <f ca="1">IF(D156&lt;1,-(D341+D527+D713+D899),-(D341+D527+'3. General Model Inputs'!$D$53*D713+D899)/D156)</f>
        <v>0</v>
      </c>
      <c r="E1085" s="30">
        <f ca="1">IF(E156&lt;1,-(E341+E527+E713+E899),-(E341+E527+'3. General Model Inputs'!$D$53*E713+E899)/E156)</f>
        <v>0</v>
      </c>
      <c r="F1085" s="30">
        <f ca="1">IF(F156&lt;1,-(F341+F527+F713+F899),-(F341+F527+'3. General Model Inputs'!$D$53*F713+F899)/F156)</f>
        <v>0</v>
      </c>
      <c r="G1085" s="30">
        <f ca="1">IF(G156&lt;1,-(G341+G527+G713+G899),-(G341+G527+'3. General Model Inputs'!$D$53*G713+G899)/G156)</f>
        <v>-85.416666666666671</v>
      </c>
      <c r="H1085" s="30">
        <f ca="1">IF(H156&lt;1,-(H341+H527+H713+H899),-(H341+H527+'3. General Model Inputs'!$D$53*H713+H899)/H156)</f>
        <v>-175.91415229885055</v>
      </c>
    </row>
    <row r="1086" spans="2:8">
      <c r="B1086" s="152">
        <f t="shared" si="214"/>
        <v>0</v>
      </c>
      <c r="D1086" s="30">
        <f ca="1">IF(D157&lt;1,-(D342+D528+D714+D900),-(D342+D528+'3. General Model Inputs'!$D$53*D714+D900)/D157)</f>
        <v>0</v>
      </c>
      <c r="E1086" s="30">
        <f ca="1">IF(E157&lt;1,-(E342+E528+E714+E900),-(E342+E528+'3. General Model Inputs'!$D$53*E714+E900)/E157)</f>
        <v>0</v>
      </c>
      <c r="F1086" s="30">
        <f ca="1">IF(F157&lt;1,-(F342+F528+F714+F900),-(F342+F528+'3. General Model Inputs'!$D$53*F714+F900)/F157)</f>
        <v>0</v>
      </c>
      <c r="G1086" s="30">
        <f ca="1">IF(G157&lt;1,-(G342+G528+G714+G900),-(G342+G528+'3. General Model Inputs'!$D$53*G714+G900)/G157)</f>
        <v>0</v>
      </c>
      <c r="H1086" s="30">
        <f ca="1">IF(H157&lt;1,-(H342+H528+H714+H900),-(H342+H528+'3. General Model Inputs'!$D$53*H714+H900)/H157)</f>
        <v>-85.416666666666671</v>
      </c>
    </row>
    <row r="1087" spans="2:8">
      <c r="B1087" s="152">
        <f t="shared" si="214"/>
        <v>0</v>
      </c>
      <c r="D1087" s="30">
        <f ca="1">IF(D158&lt;1,-(D343+D529+D715+D901),-(D343+D529+'3. General Model Inputs'!$D$53*D715+D901)/D158)</f>
        <v>-4124.9805312500002</v>
      </c>
      <c r="E1087" s="30">
        <f ca="1">IF(E158&lt;1,-(E343+E529+E715+E901),-(E343+E529+'3. General Model Inputs'!$D$53*E715+E901)/E158)</f>
        <v>-8458.8543073517631</v>
      </c>
      <c r="F1087" s="30">
        <f ca="1">IF(F158&lt;1,-(F343+F529+F715+F901),-(F343+F529+'3. General Model Inputs'!$D$53*F715+F901)/F158)</f>
        <v>-8670.3256650355579</v>
      </c>
      <c r="G1087" s="30">
        <f ca="1">IF(G158&lt;1,-(G343+G529+G715+G901),-(G343+G529+'3. General Model Inputs'!$D$53*G715+G901)/G158)</f>
        <v>-8887.0838066614469</v>
      </c>
      <c r="H1087" s="30">
        <f ca="1">IF(H158&lt;1,-(H343+H529+H715+H901),-(H343+H529+'3. General Model Inputs'!$D$53*H715+H901)/H158)</f>
        <v>-9109.2609018279836</v>
      </c>
    </row>
    <row r="1088" spans="2:8">
      <c r="B1088" s="152">
        <f t="shared" si="214"/>
        <v>0</v>
      </c>
      <c r="D1088" s="30">
        <f ca="1">IF(D159&lt;1,-(D344+D530+D716+D902),-(D344+D530+'3. General Model Inputs'!$D$53*D716+D902)/D159)</f>
        <v>0</v>
      </c>
      <c r="E1088" s="30">
        <f ca="1">IF(E159&lt;1,-(E344+E530+E716+E902),-(E344+E530+'3. General Model Inputs'!$D$53*E716+E902)/E159)</f>
        <v>-133.30701562500002</v>
      </c>
      <c r="F1088" s="30">
        <f ca="1">IF(F159&lt;1,-(F344+F530+F716+F902),-(F344+F530+'3. General Model Inputs'!$D$53*F716+F902)/F159)</f>
        <v>-273.36483524639425</v>
      </c>
      <c r="G1088" s="30">
        <f ca="1">IF(G159&lt;1,-(G344+G530+G716+G902),-(G344+G530+'3. General Model Inputs'!$D$53*G716+G902)/G159)</f>
        <v>-280.19895612755403</v>
      </c>
      <c r="H1088" s="30">
        <f ca="1">IF(H159&lt;1,-(H344+H530+H716+H902),-(H344+H530+'3. General Model Inputs'!$D$53*H716+H902)/H159)</f>
        <v>-287.20393003074292</v>
      </c>
    </row>
    <row r="1089" spans="2:8">
      <c r="B1089" s="152">
        <f t="shared" si="214"/>
        <v>0</v>
      </c>
      <c r="D1089" s="30">
        <f ca="1">IF(D160&lt;1,-(D345+D531+D717+D903),-(D345+D531+'3. General Model Inputs'!$D$53*D717+D903)/D160)</f>
        <v>-2489.0830083333335</v>
      </c>
      <c r="E1089" s="30">
        <f ca="1">IF(E160&lt;1,-(E345+E531+E717+E903),-(E345+E531+'3. General Model Inputs'!$D$53*E717+E903)/E160)</f>
        <v>-5218.1847353273815</v>
      </c>
      <c r="F1089" s="30">
        <f ca="1">IF(F160&lt;1,-(F345+F531+F717+F903),-(F345+F531+'3. General Model Inputs'!$D$53*F717+F903)/F160)</f>
        <v>-5348.639353710566</v>
      </c>
      <c r="G1089" s="30">
        <f ca="1">IF(G160&lt;1,-(G345+G531+G717+G903),-(G345+G531+'3. General Model Inputs'!$D$53*G717+G903)/G160)</f>
        <v>-5482.3553375533302</v>
      </c>
      <c r="H1089" s="30">
        <f ca="1">IF(H160&lt;1,-(H345+H531+H717+H903),-(H345+H531+'3. General Model Inputs'!$D$53*H717+H903)/H160)</f>
        <v>-5619.4142209921638</v>
      </c>
    </row>
    <row r="1090" spans="2:8">
      <c r="B1090" s="152">
        <f t="shared" si="214"/>
        <v>0</v>
      </c>
      <c r="D1090" s="30">
        <f ca="1">IF(D161&lt;1,-(D346+D532+D718+D904),-(D346+D532+'3. General Model Inputs'!$D$53*D718+D904)/D161)</f>
        <v>0</v>
      </c>
      <c r="E1090" s="30">
        <f ca="1">IF(E161&lt;1,-(E346+E532+E718+E904),-(E346+E532+'3. General Model Inputs'!$D$53*E718+E904)/E161)</f>
        <v>-792.7734375</v>
      </c>
      <c r="F1090" s="30">
        <f ca="1">IF(F161&lt;1,-(F346+F532+F718+F904),-(F346+F532+'3. General Model Inputs'!$D$53*F718+F904)/F161)</f>
        <v>-1615.4013177412974</v>
      </c>
      <c r="G1090" s="30">
        <f ca="1">IF(G161&lt;1,-(G346+G532+G718+G904),-(G346+G532+'3. General Model Inputs'!$D$53*G718+G904)/G161)</f>
        <v>-1655.7863506848298</v>
      </c>
      <c r="H1090" s="30">
        <f ca="1">IF(H161&lt;1,-(H346+H532+H718+H904),-(H346+H532+'3. General Model Inputs'!$D$53*H718+H904)/H161)</f>
        <v>-1697.1810094519506</v>
      </c>
    </row>
    <row r="1091" spans="2:8">
      <c r="B1091" s="152">
        <f t="shared" si="214"/>
        <v>0</v>
      </c>
      <c r="D1091" s="30">
        <f ca="1">IF(D162&lt;1,-(D347+D533+D719+D905),-(D347+D533+'3. General Model Inputs'!$D$53*D719+D905)/D162)</f>
        <v>-537.32447500000012</v>
      </c>
      <c r="E1091" s="30">
        <f ca="1">IF(E162&lt;1,-(E347+E533+E719+E905),-(E347+E533+'3. General Model Inputs'!$D$53*E719+E905)/E162)</f>
        <v>-1101.8596125160259</v>
      </c>
      <c r="F1091" s="30">
        <f ca="1">IF(F162&lt;1,-(F347+F533+F719+F905),-(F347+F533+'3. General Model Inputs'!$D$53*F719+F905)/F162)</f>
        <v>-1129.4061028289266</v>
      </c>
      <c r="G1091" s="30">
        <f ca="1">IF(G162&lt;1,-(G347+G533+G719+G905),-(G347+G533+'3. General Model Inputs'!$D$53*G719+G905)/G162)</f>
        <v>-1157.6412553996495</v>
      </c>
      <c r="H1091" s="30">
        <f ca="1">IF(H162&lt;1,-(H347+H533+H719+H905),-(H347+H533+'3. General Model Inputs'!$D$53*H719+H905)/H162)</f>
        <v>-1186.5822867846409</v>
      </c>
    </row>
    <row r="1092" spans="2:8">
      <c r="B1092" s="152">
        <f t="shared" si="214"/>
        <v>0</v>
      </c>
      <c r="D1092" s="30">
        <f ca="1">IF(D163&lt;1,-(D348+D534+D720+D906),-(D348+D534+'3. General Model Inputs'!$D$53*D720+D906)/D163)</f>
        <v>0</v>
      </c>
      <c r="E1092" s="30">
        <f ca="1">IF(E163&lt;1,-(E348+E534+E720+E906),-(E348+E534+'3. General Model Inputs'!$D$53*E720+E906)/E163)</f>
        <v>-2306.25</v>
      </c>
      <c r="F1092" s="30">
        <f ca="1">IF(F163&lt;1,-(F348+F534+F720+F906),-(F348+F534+'3. General Model Inputs'!$D$53*F720+F906)/F163)</f>
        <v>-4709.2452330508477</v>
      </c>
      <c r="G1092" s="30">
        <f ca="1">IF(G163&lt;1,-(G348+G534+G720+G906),-(G348+G534+'3. General Model Inputs'!$D$53*G720+G906)/G163)</f>
        <v>-4826.9763638771183</v>
      </c>
      <c r="H1092" s="30">
        <f ca="1">IF(H163&lt;1,-(H348+H534+H720+H906),-(H348+H534+'3. General Model Inputs'!$D$53*H720+H906)/H163)</f>
        <v>-4947.650772974046</v>
      </c>
    </row>
    <row r="1093" spans="2:8">
      <c r="B1093" s="152">
        <f t="shared" si="214"/>
        <v>0</v>
      </c>
      <c r="D1093" s="30">
        <f ca="1">IF(D164&lt;1,-(D349+D535+D721+D907),-(D349+D535+'3. General Model Inputs'!$D$53*D721+D907)/D164)</f>
        <v>0</v>
      </c>
      <c r="E1093" s="30">
        <f ca="1">IF(E164&lt;1,-(E349+E535+E721+E907),-(E349+E535+'3. General Model Inputs'!$D$53*E721+E907)/E164)</f>
        <v>-4356.1987500000005</v>
      </c>
      <c r="F1093" s="30">
        <f ca="1">IF(F164&lt;1,-(F349+F535+F721+F907),-(F349+F535+'3. General Model Inputs'!$D$53*F721+F907)/F164)</f>
        <v>-9305.3245520833352</v>
      </c>
      <c r="G1093" s="30">
        <f ca="1">IF(G164&lt;1,-(G349+G535+G721+G907),-(G349+G535+'3. General Model Inputs'!$D$53*G721+G907)/G164)</f>
        <v>-9537.9576658854185</v>
      </c>
      <c r="H1093" s="30">
        <f ca="1">IF(H164&lt;1,-(H349+H535+H721+H907),-(H349+H535+'3. General Model Inputs'!$D$53*H721+H907)/H164)</f>
        <v>-9776.4066075325536</v>
      </c>
    </row>
    <row r="1094" spans="2:8">
      <c r="B1094" s="152">
        <f t="shared" si="214"/>
        <v>0</v>
      </c>
      <c r="D1094" s="30">
        <f ca="1">IF(D165&lt;1,-(D350+D536+D722+D908),-(D350+D536+'3. General Model Inputs'!$D$53*D722+D908)/D165)</f>
        <v>-3509.5350833333337</v>
      </c>
      <c r="E1094" s="30">
        <f ca="1">IF(E165&lt;1,-(E350+E536+E722+E908),-(E350+E536+'3. General Model Inputs'!$D$53*E722+E908)/E165)</f>
        <v>-7357.4896211309533</v>
      </c>
      <c r="F1094" s="30">
        <f ca="1">IF(F165&lt;1,-(F350+F536+F722+F908),-(F350+F536+'3. General Model Inputs'!$D$53*F722+F908)/F165)</f>
        <v>-7541.4268616592271</v>
      </c>
      <c r="G1094" s="30">
        <f ca="1">IF(G165&lt;1,-(G350+G536+G722+G908),-(G350+G536+'3. General Model Inputs'!$D$53*G722+G908)/G165)</f>
        <v>-7729.9625332007081</v>
      </c>
      <c r="H1094" s="30">
        <f ca="1">IF(H165&lt;1,-(H350+H536+H722+H908),-(H350+H536+'3. General Model Inputs'!$D$53*H722+H908)/H165)</f>
        <v>-7923.2115965307248</v>
      </c>
    </row>
    <row r="1095" spans="2:8">
      <c r="B1095" s="152">
        <f t="shared" si="214"/>
        <v>0</v>
      </c>
      <c r="D1095" s="30">
        <f ca="1">IF(D166&lt;1,-(D351+D537+D723+D909),-(D351+D537+'3. General Model Inputs'!$D$53*D723+D909)/D166)</f>
        <v>0</v>
      </c>
      <c r="E1095" s="30">
        <f ca="1">IF(E166&lt;1,-(E351+E537+E723+E909),-(E351+E537+'3. General Model Inputs'!$D$53*E723+E909)/E166)</f>
        <v>-118.05061666666666</v>
      </c>
      <c r="F1095" s="30">
        <f ca="1">IF(F166&lt;1,-(F351+F537+F723+F909),-(F351+F537+'3. General Model Inputs'!$D$53*F723+F909)/F166)</f>
        <v>-247.4846856547619</v>
      </c>
      <c r="G1095" s="30">
        <f ca="1">IF(G166&lt;1,-(G351+G537+G723+G909),-(G351+G537+'3. General Model Inputs'!$D$53*G723+G909)/G166)</f>
        <v>-253.67180279613092</v>
      </c>
      <c r="H1095" s="30">
        <f ca="1">IF(H166&lt;1,-(H351+H537+H723+H909),-(H351+H537+'3. General Model Inputs'!$D$53*H723+H909)/H166)</f>
        <v>-260.01359786603422</v>
      </c>
    </row>
    <row r="1096" spans="2:8">
      <c r="B1096" s="152">
        <f t="shared" si="214"/>
        <v>0</v>
      </c>
      <c r="D1096" s="30">
        <f ca="1">IF(D167&lt;1,-(D352+D538+D724+D910),-(D352+D538+'3. General Model Inputs'!$D$53*D724+D910)/D167)</f>
        <v>-2025.1819312499997</v>
      </c>
      <c r="E1096" s="30">
        <f ca="1">IF(E167&lt;1,-(E352+E538+E724+E910),-(E352+E538+'3. General Model Inputs'!$D$53*E724+E910)/E167)</f>
        <v>-4152.9211526081717</v>
      </c>
      <c r="F1096" s="30">
        <f ca="1">IF(F167&lt;1,-(F352+F538+F724+F910),-(F352+F538+'3. General Model Inputs'!$D$53*F724+F910)/F167)</f>
        <v>-4256.7441814233762</v>
      </c>
      <c r="G1096" s="30">
        <f ca="1">IF(G167&lt;1,-(G352+G538+G724+G910),-(G352+G538+'3. General Model Inputs'!$D$53*G724+G910)/G167)</f>
        <v>-4363.1627859589598</v>
      </c>
      <c r="H1096" s="30">
        <f ca="1">IF(H167&lt;1,-(H352+H538+H724+H910),-(H352+H538+'3. General Model Inputs'!$D$53*H724+H910)/H167)</f>
        <v>-4472.2418556079328</v>
      </c>
    </row>
    <row r="1097" spans="2:8">
      <c r="B1097" s="152">
        <f t="shared" si="214"/>
        <v>0</v>
      </c>
      <c r="D1097" s="30">
        <f ca="1">IF(D168&lt;1,-(D353+D539+D725+D911),-(D353+D539+'3. General Model Inputs'!$D$53*D725+D911)/D168)</f>
        <v>0</v>
      </c>
      <c r="E1097" s="30">
        <f ca="1">IF(E168&lt;1,-(E353+E539+E725+E911),-(E353+E539+'3. General Model Inputs'!$D$53*E725+E911)/E168)</f>
        <v>-1012.9378</v>
      </c>
      <c r="F1097" s="30">
        <f ca="1">IF(F168&lt;1,-(F353+F539+F725+F911),-(F353+F539+'3. General Model Inputs'!$D$53*F725+F911)/F168)</f>
        <v>-2077.1718091025641</v>
      </c>
      <c r="G1097" s="30">
        <f ca="1">IF(G168&lt;1,-(G353+G539+G725+G911),-(G353+G539+'3. General Model Inputs'!$D$53*G725+G911)/G168)</f>
        <v>-2129.1011043301282</v>
      </c>
      <c r="H1097" s="30">
        <f ca="1">IF(H168&lt;1,-(H353+H539+H725+H911),-(H353+H539+'3. General Model Inputs'!$D$53*H725+H911)/H168)</f>
        <v>-2182.3286319383815</v>
      </c>
    </row>
    <row r="1098" spans="2:8">
      <c r="B1098" s="152">
        <f t="shared" si="214"/>
        <v>0</v>
      </c>
      <c r="D1098" s="30">
        <f ca="1">IF(D169&lt;1,-(D354+D540+D726+D912),-(D354+D540+'3. General Model Inputs'!$D$53*D726+D912)/D169)</f>
        <v>-1865.6327375000001</v>
      </c>
      <c r="E1098" s="30">
        <f ca="1">IF(E169&lt;1,-(E354+E540+E726+E912),-(E354+E540+'3. General Model Inputs'!$D$53*E726+E912)/E169)</f>
        <v>-3809.5271872934322</v>
      </c>
      <c r="F1098" s="30">
        <f ca="1">IF(F169&lt;1,-(F354+F540+F726+F912),-(F354+F540+'3. General Model Inputs'!$D$53*F726+F912)/F169)</f>
        <v>-3904.7653669757683</v>
      </c>
      <c r="G1098" s="30">
        <f ca="1">IF(G169&lt;1,-(G354+G540+G726+G912),-(G354+G540+'3. General Model Inputs'!$D$53*G726+G912)/G169)</f>
        <v>-4002.384501150163</v>
      </c>
      <c r="H1098" s="30">
        <f ca="1">IF(H169&lt;1,-(H354+H540+H726+H912),-(H354+H540+'3. General Model Inputs'!$D$53*H726+H912)/H169)</f>
        <v>-4102.4441136789164</v>
      </c>
    </row>
    <row r="1099" spans="2:8">
      <c r="B1099" s="152">
        <f t="shared" si="214"/>
        <v>0</v>
      </c>
      <c r="D1099" s="30">
        <f ca="1">IF(D170&lt;1,-(D355+D541+D727+D913),-(D355+D541+'3. General Model Inputs'!$D$53*D727+D913)/D170)</f>
        <v>0</v>
      </c>
      <c r="E1099" s="30">
        <f ca="1">IF(E170&lt;1,-(E355+E541+E727+E913),-(E355+E541+'3. General Model Inputs'!$D$53*E727+E913)/E170)</f>
        <v>-1161.6666666666667</v>
      </c>
      <c r="F1099" s="30">
        <f ca="1">IF(F170&lt;1,-(F355+F541+F727+F913),-(F355+F541+'3. General Model Inputs'!$D$53*F727+F913)/F170)</f>
        <v>-2372.0642655367233</v>
      </c>
      <c r="G1099" s="30">
        <f ca="1">IF(G170&lt;1,-(G355+G541+G727+G913),-(G355+G541+'3. General Model Inputs'!$D$53*G727+G913)/G170)</f>
        <v>-2431.3658721751417</v>
      </c>
      <c r="H1099" s="30">
        <f ca="1">IF(H170&lt;1,-(H355+H541+H727+H913),-(H355+H541+'3. General Model Inputs'!$D$53*H727+H913)/H170)</f>
        <v>-2492.1500189795202</v>
      </c>
    </row>
    <row r="1100" spans="2:8">
      <c r="B1100" s="152">
        <f t="shared" si="214"/>
        <v>0</v>
      </c>
      <c r="D1100" s="30">
        <f ca="1">IF(D171&lt;1,-(D356+D542+D728+D914),-(D356+D542+'3. General Model Inputs'!$D$53*D728+D914)/D171)</f>
        <v>0</v>
      </c>
      <c r="E1100" s="30">
        <f ca="1">IF(E171&lt;1,-(E356+E542+E728+E914),-(E356+E542+'3. General Model Inputs'!$D$53*E728+E914)/E171)</f>
        <v>-2007.2916666666667</v>
      </c>
      <c r="F1100" s="30">
        <f ca="1">IF(F171&lt;1,-(F356+F542+F728+F914),-(F356+F542+'3. General Model Inputs'!$D$53*F728+F914)/F171)</f>
        <v>-4098.787517655368</v>
      </c>
      <c r="G1100" s="30">
        <f ca="1">IF(G171&lt;1,-(G356+G542+G728+G914),-(G356+G542+'3. General Model Inputs'!$D$53*G728+G914)/G171)</f>
        <v>-4201.2572055967521</v>
      </c>
      <c r="H1100" s="30">
        <f ca="1">IF(H171&lt;1,-(H356+H542+H728+H914),-(H356+H542+'3. General Model Inputs'!$D$53*H728+H914)/H171)</f>
        <v>-4306.2886357366706</v>
      </c>
    </row>
    <row r="1101" spans="2:8">
      <c r="B1101" s="152">
        <f t="shared" si="214"/>
        <v>0</v>
      </c>
      <c r="D1101" s="30">
        <f ca="1">IF(D172&lt;1,-(D357+D543+D729+D915),-(D357+D543+'3. General Model Inputs'!$D$53*D729+D915)/D172)</f>
        <v>-7383.9472750000004</v>
      </c>
      <c r="E1101" s="30">
        <f ca="1">IF(E172&lt;1,-(E357+E543+E729+E915),-(E357+E543+'3. General Model Inputs'!$D$53*E729+E915)/E172)</f>
        <v>-16798.480050624999</v>
      </c>
      <c r="F1101" s="30">
        <f ca="1">IF(F172&lt;1,-(F357+F543+F729+F915),-(F357+F543+'3. General Model Inputs'!$D$53*F729+F915)/F172)</f>
        <v>-17218.442051890623</v>
      </c>
      <c r="G1101" s="30">
        <f ca="1">IF(G172&lt;1,-(G357+G543+G729+G915),-(G357+G543+'3. General Model Inputs'!$D$53*G729+G915)/G172)</f>
        <v>-17648.903103187891</v>
      </c>
      <c r="H1101" s="30">
        <f ca="1">IF(H172&lt;1,-(H357+H543+H729+H915),-(H357+H543+'3. General Model Inputs'!$D$53*H729+H915)/H172)</f>
        <v>-18090.125680767589</v>
      </c>
    </row>
    <row r="1102" spans="2:8">
      <c r="B1102" s="152">
        <f t="shared" si="214"/>
        <v>0</v>
      </c>
      <c r="D1102" s="30">
        <f ca="1">IF(D173&lt;1,-(D358+D544+D730+D916),-(D358+D544+'3. General Model Inputs'!$D$53*D730+D916)/D173)</f>
        <v>0</v>
      </c>
      <c r="E1102" s="30">
        <f ca="1">IF(E173&lt;1,-(E358+E544+E730+E916),-(E358+E544+'3. General Model Inputs'!$D$53*E730+E916)/E173)</f>
        <v>-11297.989724999999</v>
      </c>
      <c r="F1102" s="30">
        <f ca="1">IF(F173&lt;1,-(F358+F544+F730+F916),-(F358+F544+'3. General Model Inputs'!$D$53*F730+F916)/F173)</f>
        <v>-25702.926624374995</v>
      </c>
      <c r="G1102" s="30">
        <f ca="1">IF(G173&lt;1,-(G358+G544+G730+G916),-(G358+G544+'3. General Model Inputs'!$D$53*G730+G916)/G173)</f>
        <v>-26345.499789984373</v>
      </c>
      <c r="H1102" s="30">
        <f ca="1">IF(H173&lt;1,-(H358+H544+H730+H916),-(H358+H544+'3. General Model Inputs'!$D$53*H730+H916)/H173)</f>
        <v>-27004.137284733981</v>
      </c>
    </row>
    <row r="1103" spans="2:8">
      <c r="B1103" s="152">
        <f t="shared" si="214"/>
        <v>0</v>
      </c>
      <c r="D1103" s="30">
        <f ca="1">IF(D174&lt;1,-(D359+D545+D731+D917),-(D359+D545+'3. General Model Inputs'!$D$53*D731+D917)/D174)</f>
        <v>0</v>
      </c>
      <c r="E1103" s="30">
        <f ca="1">IF(E174&lt;1,-(E359+E545+E731+E917),-(E359+E545+'3. General Model Inputs'!$D$53*E731+E917)/E174)</f>
        <v>-12812.5</v>
      </c>
      <c r="F1103" s="30">
        <f ca="1">IF(F174&lt;1,-(F359+F545+F731+F917),-(F359+F545+'3. General Model Inputs'!$D$53*F731+F917)/F174)</f>
        <v>-26619.654605263157</v>
      </c>
      <c r="G1103" s="30">
        <f ca="1">IF(G174&lt;1,-(G359+G545+G731+G917),-(G359+G545+'3. General Model Inputs'!$D$53*G731+G917)/G174)</f>
        <v>-27285.145970394737</v>
      </c>
      <c r="H1103" s="30">
        <f ca="1">IF(H174&lt;1,-(H359+H545+H731+H917),-(H359+H545+'3. General Model Inputs'!$D$53*H731+H917)/H174)</f>
        <v>-27967.274619654607</v>
      </c>
    </row>
    <row r="1104" spans="2:8">
      <c r="B1104" s="152">
        <f t="shared" si="214"/>
        <v>0</v>
      </c>
      <c r="D1104" s="30">
        <f ca="1">IF(D175&lt;1,-(D360+D546+D732+D918),-(D360+D546+'3. General Model Inputs'!$D$53*D732+D918)/D175)</f>
        <v>-6984.4630062500019</v>
      </c>
      <c r="E1104" s="30">
        <f ca="1">IF(E175&lt;1,-(E360+E546+E732+E918),-(E360+E546+'3. General Model Inputs'!$D$53*E732+E918)/E175)</f>
        <v>-14322.626382688306</v>
      </c>
      <c r="F1104" s="30">
        <f ca="1">IF(F175&lt;1,-(F360+F546+F732+F918),-(F360+F546+'3. General Model Inputs'!$D$53*F732+F918)/F175)</f>
        <v>-14680.692042255514</v>
      </c>
      <c r="G1104" s="30">
        <f ca="1">IF(G175&lt;1,-(G360+G546+G732+G918),-(G360+G546+'3. General Model Inputs'!$D$53*G732+G918)/G175)</f>
        <v>-15047.709343311903</v>
      </c>
      <c r="H1104" s="30">
        <f ca="1">IF(H175&lt;1,-(H360+H546+H732+H918),-(H360+H546+'3. General Model Inputs'!$D$53*H732+H918)/H175)</f>
        <v>-15423.902076894699</v>
      </c>
    </row>
    <row r="1105" spans="2:8">
      <c r="B1105" s="152">
        <f t="shared" si="214"/>
        <v>0</v>
      </c>
      <c r="D1105" s="30">
        <f ca="1">IF(D176&lt;1,-(D361+D547+D733+D919),-(D361+D547+'3. General Model Inputs'!$D$53*D733+D919)/D176)</f>
        <v>0</v>
      </c>
      <c r="E1105" s="30">
        <f ca="1">IF(E176&lt;1,-(E361+E547+E733+E919),-(E361+E547+'3. General Model Inputs'!$D$53*E733+E919)/E176)</f>
        <v>-23233.860268750002</v>
      </c>
      <c r="F1105" s="30">
        <f ca="1">IF(F176&lt;1,-(F361+F547+F733+F919),-(F361+F547+'3. General Model Inputs'!$D$53*F733+F919)/F176)</f>
        <v>-47644.307051109776</v>
      </c>
      <c r="G1105" s="30">
        <f ca="1">IF(G176&lt;1,-(G361+G547+G733+G919),-(G361+G547+'3. General Model Inputs'!$D$53*G733+G919)/G176)</f>
        <v>-48835.414727387521</v>
      </c>
      <c r="H1105" s="30">
        <f ca="1">IF(H176&lt;1,-(H361+H547+H733+H919),-(H361+H547+'3. General Model Inputs'!$D$53*H733+H919)/H176)</f>
        <v>-50056.300095572209</v>
      </c>
    </row>
    <row r="1106" spans="2:8">
      <c r="B1106" s="152">
        <f t="shared" si="214"/>
        <v>0</v>
      </c>
      <c r="D1106" s="30">
        <f ca="1">IF(D177&lt;1,-(D362+D548+D734+D920),-(D362+D548+'3. General Model Inputs'!$D$53*D734+D920)/D177)</f>
        <v>0</v>
      </c>
      <c r="E1106" s="30">
        <f ca="1">IF(E177&lt;1,-(E362+E548+E734+E920),-(E362+E548+'3. General Model Inputs'!$D$53*E734+E920)/E177)</f>
        <v>-2050</v>
      </c>
      <c r="F1106" s="30">
        <f ca="1">IF(F177&lt;1,-(F362+F548+F734+F920),-(F362+F548+'3. General Model Inputs'!$D$53*F734+F920)/F177)</f>
        <v>-4203.8141025641025</v>
      </c>
      <c r="G1106" s="30">
        <f ca="1">IF(G177&lt;1,-(G362+G548+G734+G920),-(G362+G548+'3. General Model Inputs'!$D$53*G734+G920)/G177)</f>
        <v>-4308.909455128206</v>
      </c>
      <c r="H1106" s="30">
        <f ca="1">IF(H177&lt;1,-(H362+H548+H734+H920),-(H362+H548+'3. General Model Inputs'!$D$53*H734+H920)/H177)</f>
        <v>-4416.63219150641</v>
      </c>
    </row>
    <row r="1107" spans="2:8">
      <c r="B1107" s="152">
        <f t="shared" si="214"/>
        <v>0</v>
      </c>
      <c r="D1107" s="30">
        <f ca="1">IF(D178&lt;1,-(D363+D549+D735+D921),-(D363+D549+'3. General Model Inputs'!$D$53*D735+D921)/D178)</f>
        <v>0</v>
      </c>
      <c r="E1107" s="30">
        <f ca="1">IF(E178&lt;1,-(E363+E549+E735+E921),-(E363+E549+'3. General Model Inputs'!$D$53*E735+E921)/E178)</f>
        <v>-10385.812500000002</v>
      </c>
      <c r="F1107" s="30">
        <f ca="1">IF(F178&lt;1,-(F363+F549+F735+F921),-(F363+F549+'3. General Model Inputs'!$D$53*F735+F921)/F178)</f>
        <v>-21297.573197115387</v>
      </c>
      <c r="G1107" s="30">
        <f ca="1">IF(G178&lt;1,-(G363+G549+G735+G921),-(G363+G549+'3. General Model Inputs'!$D$53*G735+G921)/G178)</f>
        <v>-21830.012527043276</v>
      </c>
      <c r="H1107" s="30">
        <f ca="1">IF(H178&lt;1,-(H363+H549+H735+H921),-(H363+H549+'3. General Model Inputs'!$D$53*H735+H921)/H178)</f>
        <v>-22375.762840219359</v>
      </c>
    </row>
    <row r="1108" spans="2:8">
      <c r="B1108" s="152">
        <f t="shared" si="214"/>
        <v>0</v>
      </c>
      <c r="D1108" s="30">
        <f ca="1">IF(D179&lt;1,-(D364+D550+D736+D922),-(D364+D550+'3. General Model Inputs'!$D$53*D736+D922)/D179)</f>
        <v>0</v>
      </c>
      <c r="E1108" s="30">
        <f ca="1">IF(E179&lt;1,-(E364+E550+E736+E922),-(E364+E550+'3. General Model Inputs'!$D$53*E736+E922)/E179)</f>
        <v>-3459.375</v>
      </c>
      <c r="F1108" s="30">
        <f ca="1">IF(F179&lt;1,-(F364+F550+F736+F922),-(F364+F550+'3. General Model Inputs'!$D$53*F736+F922)/F179)</f>
        <v>-7389.609375</v>
      </c>
      <c r="G1108" s="30">
        <f ca="1">IF(G179&lt;1,-(G364+G550+G736+G922),-(G364+G550+'3. General Model Inputs'!$D$53*G736+G922)/G179)</f>
        <v>-7574.349609375</v>
      </c>
      <c r="H1108" s="30">
        <f ca="1">IF(H179&lt;1,-(H364+H550+H736+H922),-(H364+H550+'3. General Model Inputs'!$D$53*H736+H922)/H179)</f>
        <v>-7763.7083496093755</v>
      </c>
    </row>
    <row r="1109" spans="2:8">
      <c r="B1109" s="152">
        <f t="shared" si="214"/>
        <v>0</v>
      </c>
      <c r="D1109" s="30">
        <f ca="1">IF(D180&lt;1,-(D365+D551+D737+D923),-(D365+D551+'3. General Model Inputs'!$D$53*D737+D923)/D180)</f>
        <v>0</v>
      </c>
      <c r="E1109" s="30">
        <f ca="1">IF(E180&lt;1,-(E365+E551+E737+E923),-(E365+E551+'3. General Model Inputs'!$D$53*E737+E923)/E180)</f>
        <v>-9716.1351562500004</v>
      </c>
      <c r="F1109" s="30">
        <f ca="1">IF(F180&lt;1,-(F365+F551+F737+F923),-(F365+F551+'3. General Model Inputs'!$D$53*F737+F923)/F180)</f>
        <v>-19924.305362079329</v>
      </c>
      <c r="G1109" s="30">
        <f ca="1">IF(G180&lt;1,-(G365+G551+G737+G923),-(G365+G551+'3. General Model Inputs'!$D$53*G737+G923)/G180)</f>
        <v>-20422.412996131316</v>
      </c>
      <c r="H1109" s="30">
        <f ca="1">IF(H180&lt;1,-(H365+H551+H737+H923),-(H365+H551+'3. General Model Inputs'!$D$53*H737+H923)/H180)</f>
        <v>-20932.973321034595</v>
      </c>
    </row>
    <row r="1110" spans="2:8">
      <c r="B1110" s="152">
        <f t="shared" si="214"/>
        <v>0</v>
      </c>
      <c r="D1110" s="30">
        <f ca="1">IF(D181&lt;1,-(D366+D552+D738+D924),-(D366+D552+'3. General Model Inputs'!$D$53*D738+D924)/D181)</f>
        <v>-18836.514849678231</v>
      </c>
      <c r="E1110" s="30">
        <f ca="1">IF(E181&lt;1,-(E366+E552+E738+E924),-(E366+E552+'3. General Model Inputs'!$D$53*E738+E924)/E181)</f>
        <v>-38270.362133347939</v>
      </c>
      <c r="F1110" s="30">
        <f ca="1">IF(F181&lt;1,-(F366+F552+F738+F924),-(F366+F552+'3. General Model Inputs'!$D$53*F738+F924)/F181)</f>
        <v>-39227.12118668163</v>
      </c>
      <c r="G1110" s="30">
        <f ca="1">IF(G181&lt;1,-(G366+G552+G738+G924),-(G366+G552+'3. General Model Inputs'!$D$53*G738+G924)/G181)</f>
        <v>-40207.799216348671</v>
      </c>
      <c r="H1110" s="30">
        <f ca="1">IF(H181&lt;1,-(H366+H552+H738+H924),-(H366+H552+'3. General Model Inputs'!$D$53*H738+H924)/H181)</f>
        <v>-41212.99419675739</v>
      </c>
    </row>
    <row r="1111" spans="2:8">
      <c r="B1111" s="152">
        <f t="shared" si="214"/>
        <v>0</v>
      </c>
      <c r="D1111" s="30">
        <f ca="1">IF(D182&lt;1,-(D367+D553+D739+D925),-(D367+D553+'3. General Model Inputs'!$D$53*D739+D925)/D182)</f>
        <v>-1324.5426080940197</v>
      </c>
      <c r="E1111" s="30">
        <f ca="1">IF(E182&lt;1,-(E367+E553+E739+E925),-(E367+E553+'3. General Model Inputs'!$D$53*E739+E925)/E182)</f>
        <v>-2691.088329095719</v>
      </c>
      <c r="F1111" s="30">
        <f ca="1">IF(F182&lt;1,-(F367+F553+F739+F925),-(F367+F553+'3. General Model Inputs'!$D$53*F739+F925)/F182)</f>
        <v>-2758.3655373231113</v>
      </c>
      <c r="G1111" s="30">
        <f ca="1">IF(G182&lt;1,-(G367+G553+G739+G925),-(G367+G553+'3. General Model Inputs'!$D$53*G739+G925)/G182)</f>
        <v>-2827.3246757561897</v>
      </c>
      <c r="H1111" s="30">
        <f ca="1">IF(H182&lt;1,-(H367+H553+H739+H925),-(H367+H553+'3. General Model Inputs'!$D$53*H739+H925)/H182)</f>
        <v>-2898.007792650094</v>
      </c>
    </row>
    <row r="1112" spans="2:8">
      <c r="B1112" s="152">
        <f t="shared" si="214"/>
        <v>0</v>
      </c>
      <c r="D1112" s="30">
        <f ca="1">IF(D183&lt;1,-(D368+D554+D740+D926),-(D368+D554+'3. General Model Inputs'!$D$53*D740+D926)/D183)</f>
        <v>-1797.5934918032528</v>
      </c>
      <c r="E1112" s="30">
        <f ca="1">IF(E183&lt;1,-(E368+E554+E740+E926),-(E368+E554+'3. General Model Inputs'!$D$53*E740+E926)/E183)</f>
        <v>-3702.1128033775612</v>
      </c>
      <c r="F1112" s="30">
        <f ca="1">IF(F183&lt;1,-(F368+F554+F740+F926),-(F368+F554+'3. General Model Inputs'!$D$53*F740+F926)/F183)</f>
        <v>-3794.665623462</v>
      </c>
      <c r="G1112" s="30">
        <f ca="1">IF(G183&lt;1,-(G368+G554+G740+G926),-(G368+G554+'3. General Model Inputs'!$D$53*G740+G926)/G183)</f>
        <v>-3889.5322640485501</v>
      </c>
      <c r="H1112" s="30">
        <f ca="1">IF(H183&lt;1,-(H368+H554+H740+H926),-(H368+H554+'3. General Model Inputs'!$D$53*H740+H926)/H183)</f>
        <v>-3986.7705706497636</v>
      </c>
    </row>
    <row r="1113" spans="2:8">
      <c r="B1113" s="152">
        <f t="shared" si="214"/>
        <v>0</v>
      </c>
      <c r="D1113" s="30">
        <f ca="1">IF(D184&lt;1,-(D369+D555+D741+D927),-(D369+D555+'3. General Model Inputs'!$D$53*D741+D927)/D184)</f>
        <v>-283.8304660201926</v>
      </c>
      <c r="E1113" s="30">
        <f ca="1">IF(E184&lt;1,-(E369+E555+E741+E927),-(E369+E555+'3. General Model Inputs'!$D$53*E741+E927)/E184)</f>
        <v>-589.69513927090009</v>
      </c>
      <c r="F1113" s="30">
        <f ca="1">IF(F184&lt;1,-(F369+F555+F741+F927),-(F369+F555+'3. General Model Inputs'!$D$53*F741+F927)/F184)</f>
        <v>-604.43751775267265</v>
      </c>
      <c r="G1113" s="30">
        <f ca="1">IF(G184&lt;1,-(G369+G555+G741+G927),-(G369+G555+'3. General Model Inputs'!$D$53*G741+G927)/G184)</f>
        <v>-619.54845569648944</v>
      </c>
      <c r="H1113" s="30">
        <f ca="1">IF(H184&lt;1,-(H369+H555+H741+H927),-(H369+H555+'3. General Model Inputs'!$D$53*H741+H927)/H184)</f>
        <v>-635.0371670889017</v>
      </c>
    </row>
    <row r="1114" spans="2:8">
      <c r="B1114" s="152">
        <f t="shared" si="214"/>
        <v>0</v>
      </c>
      <c r="D1114" s="30">
        <f ca="1">IF(D185&lt;1,-(D370+D556+D742+D928),-(D370+D556+'3. General Model Inputs'!$D$53*D742+D928)/D185)</f>
        <v>-2554.4742259665591</v>
      </c>
      <c r="E1114" s="30">
        <f ca="1">IF(E185&lt;1,-(E370+E556+E742+E928),-(E370+E556+'3. General Model Inputs'!$D$53*E742+E928)/E185)</f>
        <v>-5456.6407771341219</v>
      </c>
      <c r="F1114" s="30">
        <f ca="1">IF(F185&lt;1,-(F370+F556+F742+F928),-(F370+F556+'3. General Model Inputs'!$D$53*F742+F928)/F185)</f>
        <v>-5593.056796562475</v>
      </c>
      <c r="G1114" s="30">
        <f ca="1">IF(G185&lt;1,-(G370+G556+G742+G928),-(G370+G556+'3. General Model Inputs'!$D$53*G742+G928)/G185)</f>
        <v>-5732.8832164765381</v>
      </c>
      <c r="H1114" s="30">
        <f ca="1">IF(H185&lt;1,-(H370+H556+H742+H928),-(H370+H556+'3. General Model Inputs'!$D$53*H742+H928)/H185)</f>
        <v>-5876.20529688845</v>
      </c>
    </row>
    <row r="1115" spans="2:8">
      <c r="B1115" s="152">
        <f t="shared" si="214"/>
        <v>0</v>
      </c>
      <c r="D1115" s="30">
        <f ca="1">IF(D186&lt;1,-(D371+D557+D743+D929),-(D371+D557+'3. General Model Inputs'!$D$53*D743+D929)/D186)</f>
        <v>-156.87604780649843</v>
      </c>
      <c r="E1115" s="30">
        <f ca="1">IF(E186&lt;1,-(E371+E557+E743+E929),-(E371+E557+'3. General Model Inputs'!$D$53*E743+E929)/E186)</f>
        <v>-325.93063090323824</v>
      </c>
      <c r="F1115" s="30">
        <f ca="1">IF(F186&lt;1,-(F371+F557+F743+F929),-(F371+F557+'3. General Model Inputs'!$D$53*F743+F929)/F186)</f>
        <v>-334.07889667581918</v>
      </c>
      <c r="G1115" s="30">
        <f ca="1">IF(G186&lt;1,-(G371+G557+G743+G929),-(G371+G557+'3. General Model Inputs'!$D$53*G743+G929)/G186)</f>
        <v>-342.43086909271466</v>
      </c>
      <c r="H1115" s="30">
        <f ca="1">IF(H186&lt;1,-(H371+H557+H743+H929),-(H371+H557+'3. General Model Inputs'!$D$53*H743+H929)/H186)</f>
        <v>-350.9916408200325</v>
      </c>
    </row>
    <row r="1116" spans="2:8">
      <c r="B1116" s="152">
        <f t="shared" si="214"/>
        <v>0</v>
      </c>
      <c r="D1116" s="30">
        <f ca="1">IF(D187&lt;1,-(D372+D558+D744+D930),-(D372+D558+'3. General Model Inputs'!$D$53*D744+D930)/D187)</f>
        <v>-522.9196952669879</v>
      </c>
      <c r="E1116" s="30">
        <f ca="1">IF(E187&lt;1,-(E372+E558+E744+E930),-(E372+E558+'3. General Model Inputs'!$D$53*E744+E930)/E187)</f>
        <v>-1076.9440965455467</v>
      </c>
      <c r="F1116" s="30">
        <f ca="1">IF(F187&lt;1,-(F372+F558+F744+F930),-(F372+F558+'3. General Model Inputs'!$D$53*F744+F930)/F187)</f>
        <v>-1103.8676989591854</v>
      </c>
      <c r="G1116" s="30">
        <f ca="1">IF(G187&lt;1,-(G372+G558+G744+G930),-(G372+G558+'3. General Model Inputs'!$D$53*G744+G930)/G187)</f>
        <v>-1131.464391433165</v>
      </c>
      <c r="H1116" s="30">
        <f ca="1">IF(H187&lt;1,-(H372+H558+H744+H930),-(H372+H558+'3. General Model Inputs'!$D$53*H744+H930)/H187)</f>
        <v>-1159.7510012189941</v>
      </c>
    </row>
    <row r="1117" spans="2:8">
      <c r="B1117" s="152">
        <f t="shared" si="214"/>
        <v>0</v>
      </c>
      <c r="D1117" s="30">
        <f ca="1">IF(D188&lt;1,-(D373+D559+D745+D931),-(D373+D559+'3. General Model Inputs'!$D$53*D745+D931)/D188)</f>
        <v>-470.44496125335871</v>
      </c>
      <c r="E1117" s="30">
        <f ca="1">IF(E188&lt;1,-(E373+E559+E745+E931),-(E373+E559+'3. General Model Inputs'!$D$53*E745+E931)/E188)</f>
        <v>-968.87328658127058</v>
      </c>
      <c r="F1117" s="30">
        <f ca="1">IF(F188&lt;1,-(F373+F559+F745+F931),-(F373+F559+'3. General Model Inputs'!$D$53*F745+F931)/F188)</f>
        <v>-993.09511874580232</v>
      </c>
      <c r="G1117" s="30">
        <f ca="1">IF(G188&lt;1,-(G373+G559+G745+G931),-(G373+G559+'3. General Model Inputs'!$D$53*G745+G931)/G188)</f>
        <v>-1017.9224967144474</v>
      </c>
      <c r="H1117" s="30">
        <f ca="1">IF(H188&lt;1,-(H373+H559+H745+H931),-(H373+H559+'3. General Model Inputs'!$D$53*H745+H931)/H188)</f>
        <v>-1043.3705591323087</v>
      </c>
    </row>
    <row r="1118" spans="2:8">
      <c r="B1118" s="152">
        <f t="shared" si="214"/>
        <v>0</v>
      </c>
      <c r="D1118" s="30">
        <f ca="1">IF(D189&lt;1,-(D374+D560+D746+D932),-(D374+D560+'3. General Model Inputs'!$D$53*D746+D932)/D189)</f>
        <v>-156.87590858009636</v>
      </c>
      <c r="E1118" s="30">
        <f ca="1">IF(E189&lt;1,-(E374+E560+E746+E932),-(E374+E560+'3. General Model Inputs'!$D$53*E746+E932)/E189)</f>
        <v>-325.93034164206864</v>
      </c>
      <c r="F1118" s="30">
        <f ca="1">IF(F189&lt;1,-(F374+F560+F746+F932),-(F374+F560+'3. General Model Inputs'!$D$53*F746+F932)/F189)</f>
        <v>-334.07860018312033</v>
      </c>
      <c r="G1118" s="30">
        <f ca="1">IF(G189&lt;1,-(G374+G560+G746+G932),-(G374+G560+'3. General Model Inputs'!$D$53*G746+G932)/G189)</f>
        <v>-342.43056518769833</v>
      </c>
      <c r="H1118" s="30">
        <f ca="1">IF(H189&lt;1,-(H374+H560+H746+H932),-(H374+H560+'3. General Model Inputs'!$D$53*H746+H932)/H189)</f>
        <v>-350.99132931739081</v>
      </c>
    </row>
    <row r="1119" spans="2:8">
      <c r="B1119" s="152">
        <f t="shared" si="214"/>
        <v>0</v>
      </c>
      <c r="D1119" s="30">
        <f ca="1">IF(D190&lt;1,-(D375+D561+D747+D933),-(D375+D561+'3. General Model Inputs'!$D$53*D747+D933)/D190)</f>
        <v>-235.22257723275425</v>
      </c>
      <c r="E1119" s="30">
        <f ca="1">IF(E190&lt;1,-(E375+E561+E747+E933),-(E375+E561+'3. General Model Inputs'!$D$53*E747+E933)/E190)</f>
        <v>-488.70585454015645</v>
      </c>
      <c r="F1119" s="30">
        <f ca="1">IF(F190&lt;1,-(F375+F561+F747+F933),-(F375+F561+'3. General Model Inputs'!$D$53*F747+F933)/F190)</f>
        <v>-500.9235009036604</v>
      </c>
      <c r="G1119" s="30">
        <f ca="1">IF(G190&lt;1,-(G375+G561+G747+G933),-(G375+G561+'3. General Model Inputs'!$D$53*G747+G933)/G190)</f>
        <v>-513.44658842625188</v>
      </c>
      <c r="H1119" s="30">
        <f ca="1">IF(H190&lt;1,-(H375+H561+H747+H933),-(H375+H561+'3. General Model Inputs'!$D$53*H747+H933)/H190)</f>
        <v>-526.28275313690813</v>
      </c>
    </row>
    <row r="1120" spans="2:8">
      <c r="B1120" s="152">
        <f t="shared" si="214"/>
        <v>0</v>
      </c>
      <c r="D1120" s="30">
        <f ca="1">IF(D191&lt;1,-(D376+D562+D748+D934),-(D376+D562+'3. General Model Inputs'!$D$53*D748+D934)/D191)</f>
        <v>-2917.8918995897925</v>
      </c>
      <c r="E1120" s="30">
        <f ca="1">IF(E191&lt;1,-(E376+E562+E748+E934),-(E376+E562+'3. General Model Inputs'!$D$53*E748+E934)/E191)</f>
        <v>-5938.2047522207431</v>
      </c>
      <c r="F1120" s="30">
        <f ca="1">IF(F191&lt;1,-(F376+F562+F748+F934),-(F376+F562+'3. General Model Inputs'!$D$53*F748+F934)/F191)</f>
        <v>-6086.6598710262606</v>
      </c>
      <c r="G1120" s="30">
        <f ca="1">IF(G191&lt;1,-(G376+G562+G748+G934),-(G376+G562+'3. General Model Inputs'!$D$53*G748+G934)/G191)</f>
        <v>-6238.8263678019166</v>
      </c>
      <c r="H1120" s="30">
        <f ca="1">IF(H191&lt;1,-(H376+H562+H748+H934),-(H376+H562+'3. General Model Inputs'!$D$53*H748+H934)/H191)</f>
        <v>-6394.7970269969655</v>
      </c>
    </row>
    <row r="1121" spans="2:8">
      <c r="B1121" s="152">
        <f t="shared" si="214"/>
        <v>0</v>
      </c>
      <c r="D1121" s="30">
        <f ca="1">IF(D192&lt;1,-(D377+D563+D749+D935),-(D377+D563+'3. General Model Inputs'!$D$53*D749+D935)/D192)</f>
        <v>-517.48945283252624</v>
      </c>
      <c r="E1121" s="30">
        <f ca="1">IF(E192&lt;1,-(E377+E563+E749+E935),-(E377+E563+'3. General Model Inputs'!$D$53*E749+E935)/E192)</f>
        <v>-1053.1433081760933</v>
      </c>
      <c r="F1121" s="30">
        <f ca="1">IF(F192&lt;1,-(F377+F563+F749+F935),-(F377+F563+'3. General Model Inputs'!$D$53*F749+F935)/F192)</f>
        <v>-1079.4718908804957</v>
      </c>
      <c r="G1121" s="30">
        <f ca="1">IF(G192&lt;1,-(G377+G563+G749+G935),-(G377+G563+'3. General Model Inputs'!$D$53*G749+G935)/G192)</f>
        <v>-1106.4586881525081</v>
      </c>
      <c r="H1121" s="30">
        <f ca="1">IF(H192&lt;1,-(H377+H563+H749+H935),-(H377+H563+'3. General Model Inputs'!$D$53*H749+H935)/H192)</f>
        <v>-1134.1201553563208</v>
      </c>
    </row>
    <row r="1122" spans="2:8">
      <c r="B1122" s="152">
        <f t="shared" si="214"/>
        <v>0</v>
      </c>
      <c r="D1122" s="30">
        <f ca="1">IF(D193&lt;1,-(D378+D564+D750+D936),-(D378+D564+'3. General Model Inputs'!$D$53*D750+D936)/D193)</f>
        <v>-7056.6737084615943</v>
      </c>
      <c r="E1122" s="30">
        <f ca="1">IF(E193&lt;1,-(E378+E564+E750+E936),-(E378+E564+'3. General Model Inputs'!$D$53*E750+E936)/E193)</f>
        <v>-15073.839116130461</v>
      </c>
      <c r="F1122" s="30">
        <f ca="1">IF(F193&lt;1,-(F378+F564+F750+F936),-(F378+F564+'3. General Model Inputs'!$D$53*F750+F936)/F193)</f>
        <v>-15450.685094033723</v>
      </c>
      <c r="G1122" s="30">
        <f ca="1">IF(G193&lt;1,-(G378+G564+G750+G936),-(G378+G564+'3. General Model Inputs'!$D$53*G750+G936)/G193)</f>
        <v>-15836.952221384567</v>
      </c>
      <c r="H1122" s="30">
        <f ca="1">IF(H193&lt;1,-(H378+H564+H750+H936),-(H378+H564+'3. General Model Inputs'!$D$53*H750+H936)/H193)</f>
        <v>-16232.876026919183</v>
      </c>
    </row>
    <row r="1123" spans="2:8">
      <c r="B1123" s="152">
        <f t="shared" si="214"/>
        <v>0</v>
      </c>
      <c r="D1123" s="30">
        <f ca="1">IF(D194&lt;1,-(D379+D565+D751+D937),-(D379+D565+'3. General Model Inputs'!$D$53*D751+D937)/D194)</f>
        <v>-13172.457892206192</v>
      </c>
      <c r="E1123" s="30">
        <f ca="1">IF(E194&lt;1,-(E379+E565+E751+E937),-(E379+E565+'3. General Model Inputs'!$D$53*E751+E937)/E194)</f>
        <v>-27223.079643892797</v>
      </c>
      <c r="F1123" s="30">
        <f ca="1">IF(F194&lt;1,-(F379+F565+F751+F937),-(F379+F565+'3. General Model Inputs'!$D$53*F751+F937)/F194)</f>
        <v>-27903.656634990115</v>
      </c>
      <c r="G1123" s="30">
        <f ca="1">IF(G194&lt;1,-(G379+G565+G751+G937),-(G379+G565+'3. General Model Inputs'!$D$53*G751+G937)/G194)</f>
        <v>-28601.24805086487</v>
      </c>
      <c r="H1123" s="30">
        <f ca="1">IF(H194&lt;1,-(H379+H565+H751+H937),-(H379+H565+'3. General Model Inputs'!$D$53*H751+H937)/H194)</f>
        <v>-29316.279252136494</v>
      </c>
    </row>
    <row r="1124" spans="2:8">
      <c r="B1124" s="152">
        <f t="shared" si="214"/>
        <v>0</v>
      </c>
      <c r="D1124" s="30">
        <f ca="1">IF(D195&lt;1,-(D380+D566+D752+D938),-(D380+D566+'3. General Model Inputs'!$D$53*D752+D938)/D195)</f>
        <v>-1638.5342500000002</v>
      </c>
      <c r="E1124" s="30">
        <f ca="1">IF(E195&lt;1,-(E380+E566+E752+E938),-(E380+E566+'3. General Model Inputs'!$D$53*E752+E938)/E195)</f>
        <v>-3329.0287304110739</v>
      </c>
      <c r="F1124" s="30">
        <f ca="1">IF(F195&lt;1,-(F380+F566+F752+F938),-(F380+F566+'3. General Model Inputs'!$D$53*F752+F938)/F195)</f>
        <v>-3412.2544486713505</v>
      </c>
      <c r="G1124" s="30">
        <f ca="1">IF(G195&lt;1,-(G380+G566+G752+G938),-(G380+G566+'3. General Model Inputs'!$D$53*G752+G938)/G195)</f>
        <v>-3497.5608098881339</v>
      </c>
      <c r="H1124" s="30">
        <f ca="1">IF(H195&lt;1,-(H380+H566+H752+H938),-(H380+H566+'3. General Model Inputs'!$D$53*H752+H938)/H195)</f>
        <v>-3584.9998301353376</v>
      </c>
    </row>
    <row r="1125" spans="2:8">
      <c r="B1125" s="152">
        <f t="shared" si="214"/>
        <v>0</v>
      </c>
      <c r="D1125" s="30">
        <f ca="1">IF(D196&lt;1,-(D381+D567+D753+D939),-(D381+D567+'3. General Model Inputs'!$D$53*D753+D939)/D196)</f>
        <v>-171.38037061206546</v>
      </c>
      <c r="E1125" s="30">
        <f ca="1">IF(E196&lt;1,-(E381+E567+E753+E939),-(E381+E567+'3. General Model Inputs'!$D$53*E753+E939)/E196)</f>
        <v>-348.77636534409982</v>
      </c>
      <c r="F1125" s="30">
        <f ca="1">IF(F196&lt;1,-(F381+F567+F753+F939),-(F381+F567+'3. General Model Inputs'!$D$53*F753+F939)/F196)</f>
        <v>-357.4957744777023</v>
      </c>
      <c r="G1125" s="30">
        <f ca="1">IF(G196&lt;1,-(G381+G567+G753+G939),-(G381+G567+'3. General Model Inputs'!$D$53*G753+G939)/G196)</f>
        <v>-366.43316883964479</v>
      </c>
      <c r="H1125" s="30">
        <f ca="1">IF(H196&lt;1,-(H381+H567+H753+H939),-(H381+H567+'3. General Model Inputs'!$D$53*H753+H939)/H196)</f>
        <v>-375.59399806063601</v>
      </c>
    </row>
    <row r="1126" spans="2:8">
      <c r="B1126" s="152">
        <f t="shared" si="214"/>
        <v>0</v>
      </c>
      <c r="D1126" s="30">
        <f ca="1">IF(D197&lt;1,-(D382+D568+D754+D940),-(D382+D568+'3. General Model Inputs'!$D$53*D754+D940)/D197)</f>
        <v>-1652.1568463508611</v>
      </c>
      <c r="E1126" s="30">
        <f ca="1">IF(E197&lt;1,-(E382+E568+E754+E940),-(E382+E568+'3. General Model Inputs'!$D$53*E754+E940)/E197)</f>
        <v>-3366.5309916624033</v>
      </c>
      <c r="F1126" s="30">
        <f ca="1">IF(F197&lt;1,-(F382+F568+F754+F940),-(F382+F568+'3. General Model Inputs'!$D$53*F754+F940)/F197)</f>
        <v>-3450.6942664539638</v>
      </c>
      <c r="G1126" s="30">
        <f ca="1">IF(G197&lt;1,-(G382+G568+G754+G940),-(G382+G568+'3. General Model Inputs'!$D$53*G754+G940)/G197)</f>
        <v>-3536.9616231153132</v>
      </c>
      <c r="H1126" s="30">
        <f ca="1">IF(H197&lt;1,-(H382+H568+H754+H940),-(H382+H568+'3. General Model Inputs'!$D$53*H754+H940)/H197)</f>
        <v>-3625.3856636931964</v>
      </c>
    </row>
    <row r="1127" spans="2:8">
      <c r="B1127" s="152">
        <f t="shared" si="214"/>
        <v>0</v>
      </c>
      <c r="D1127" s="30">
        <f ca="1">IF(D198&lt;1,-(D383+D569+D755+D941),-(D383+D569+'3. General Model Inputs'!$D$53*D755+D941)/D198)</f>
        <v>-567.69749850580047</v>
      </c>
      <c r="E1127" s="30">
        <f ca="1">IF(E198&lt;1,-(E383+E569+E755+E941),-(E383+E569+'3. General Model Inputs'!$D$53*E755+E941)/E198)</f>
        <v>-1159.2094259743442</v>
      </c>
      <c r="F1127" s="30">
        <f ca="1">IF(F198&lt;1,-(F383+F569+F755+F941),-(F383+F569+'3. General Model Inputs'!$D$53*F755+F941)/F198)</f>
        <v>-1188.1896616237029</v>
      </c>
      <c r="G1127" s="30">
        <f ca="1">IF(G198&lt;1,-(G383+G569+G755+G941),-(G383+G569+'3. General Model Inputs'!$D$53*G755+G941)/G198)</f>
        <v>-1217.8944031642955</v>
      </c>
      <c r="H1127" s="30">
        <f ca="1">IF(H198&lt;1,-(H383+H569+H755+H941),-(H383+H569+'3. General Model Inputs'!$D$53*H755+H941)/H198)</f>
        <v>-1248.341763243403</v>
      </c>
    </row>
    <row r="1128" spans="2:8">
      <c r="B1128" s="152">
        <f t="shared" si="214"/>
        <v>0</v>
      </c>
      <c r="D1128" s="30">
        <f ca="1">IF(D199&lt;1,-(D384+D570+D756+D942),-(D384+D570+'3. General Model Inputs'!$D$53*D756+D942)/D199)</f>
        <v>-503.42983867294225</v>
      </c>
      <c r="E1128" s="30">
        <f ca="1">IF(E199&lt;1,-(E384+E570+E756+E942),-(E384+E570+'3. General Model Inputs'!$D$53*E756+E942)/E199)</f>
        <v>-1036.80507292212</v>
      </c>
      <c r="F1128" s="30">
        <f ca="1">IF(F199&lt;1,-(F384+F570+F756+F942),-(F384+F570+'3. General Model Inputs'!$D$53*F756+F942)/F199)</f>
        <v>-1062.7251997451729</v>
      </c>
      <c r="G1128" s="30">
        <f ca="1">IF(G199&lt;1,-(G384+G570+G756+G942),-(G384+G570+'3. General Model Inputs'!$D$53*G756+G942)/G199)</f>
        <v>-1089.2933297388024</v>
      </c>
      <c r="H1128" s="30">
        <f ca="1">IF(H199&lt;1,-(H384+H570+H756+H942),-(H384+H570+'3. General Model Inputs'!$D$53*H756+H942)/H199)</f>
        <v>-1116.5256629822725</v>
      </c>
    </row>
    <row r="1129" spans="2:8">
      <c r="B1129" s="152">
        <f t="shared" si="214"/>
        <v>0</v>
      </c>
      <c r="D1129" s="30">
        <f ca="1">IF(D200&lt;1,-(D385+D571+D757+D943),-(D385+D571+'3. General Model Inputs'!$D$53*D757+D943)/D200)</f>
        <v>-503.42983867294225</v>
      </c>
      <c r="E1129" s="30">
        <f ca="1">IF(E200&lt;1,-(E385+E571+E757+E943),-(E385+E571+'3. General Model Inputs'!$D$53*E757+E943)/E200)</f>
        <v>-1036.80507292212</v>
      </c>
      <c r="F1129" s="30">
        <f ca="1">IF(F200&lt;1,-(F385+F571+F757+F943),-(F385+F571+'3. General Model Inputs'!$D$53*F757+F943)/F200)</f>
        <v>-1062.7251997451729</v>
      </c>
      <c r="G1129" s="30">
        <f ca="1">IF(G200&lt;1,-(G385+G571+G757+G943),-(G385+G571+'3. General Model Inputs'!$D$53*G757+G943)/G200)</f>
        <v>-1089.2933297388024</v>
      </c>
      <c r="H1129" s="30">
        <f ca="1">IF(H200&lt;1,-(H385+H571+H757+H943),-(H385+H571+'3. General Model Inputs'!$D$53*H757+H943)/H200)</f>
        <v>-1116.5256629822725</v>
      </c>
    </row>
    <row r="1130" spans="2:8">
      <c r="B1130" s="152">
        <f t="shared" si="214"/>
        <v>0</v>
      </c>
      <c r="D1130" s="30">
        <f ca="1">IF(D201&lt;1,-(D386+D572+D758+D944),-(D386+D572+'3. General Model Inputs'!$D$53*D758+D944)/D201)</f>
        <v>-534.67203124999992</v>
      </c>
      <c r="E1130" s="30">
        <f ca="1">IF(E201&lt;1,-(E386+E572+E758+E944),-(E386+E572+'3. General Model Inputs'!$D$53*E758+E944)/E201)</f>
        <v>-1089.4788636768196</v>
      </c>
      <c r="F1130" s="30">
        <f ca="1">IF(F201&lt;1,-(F386+F572+F758+F944),-(F386+F572+'3. General Model Inputs'!$D$53*F758+F944)/F201)</f>
        <v>-1116.7158352687402</v>
      </c>
      <c r="G1130" s="30">
        <f ca="1">IF(G201&lt;1,-(G386+G572+G758+G944),-(G386+G572+'3. General Model Inputs'!$D$53*G758+G944)/G201)</f>
        <v>-1144.6337311504587</v>
      </c>
      <c r="H1130" s="30">
        <f ca="1">IF(H201&lt;1,-(H386+H572+H758+H944),-(H386+H572+'3. General Model Inputs'!$D$53*H758+H944)/H201)</f>
        <v>-1173.2495744292203</v>
      </c>
    </row>
    <row r="1131" spans="2:8">
      <c r="B1131" s="152">
        <f t="shared" si="214"/>
        <v>0</v>
      </c>
      <c r="D1131" s="30">
        <f ca="1">IF(D202&lt;1,-(D387+D573+D759+D945),-(D387+D573+'3. General Model Inputs'!$D$53*D759+D945)/D202)</f>
        <v>-5318.3565125000005</v>
      </c>
      <c r="E1131" s="30">
        <f ca="1">IF(E202&lt;1,-(E387+E573+E759+E945),-(E387+E573+'3. General Model Inputs'!$D$53*E759+E945)/E202)</f>
        <v>-11360.600439201387</v>
      </c>
      <c r="F1131" s="30">
        <f ca="1">IF(F202&lt;1,-(F387+F573+F759+F945),-(F387+F573+'3. General Model Inputs'!$D$53*F759+F945)/F202)</f>
        <v>-11644.615450181422</v>
      </c>
      <c r="G1131" s="30">
        <f ca="1">IF(G202&lt;1,-(G387+G573+G759+G945),-(G387+G573+'3. General Model Inputs'!$D$53*G759+G945)/G202)</f>
        <v>-11935.730836435958</v>
      </c>
      <c r="H1131" s="30">
        <f ca="1">IF(H202&lt;1,-(H387+H573+H759+H945),-(H387+H573+'3. General Model Inputs'!$D$53*H759+H945)/H202)</f>
        <v>-12234.124107346855</v>
      </c>
    </row>
    <row r="1132" spans="2:8">
      <c r="B1132" s="2" t="str">
        <f t="shared" si="214"/>
        <v>Carndo Year 4 Reduction</v>
      </c>
      <c r="D1132" s="30">
        <f ca="1">IF(D203&lt;1,-(D388+D574+D760+D946),-(D388+D574+'3. General Model Inputs'!$D$53*D760+D946)/D203)</f>
        <v>0</v>
      </c>
      <c r="E1132" s="30">
        <f ca="1">IF(E203&lt;1,-(E388+E574+E760+E946),-(E388+E574+'3. General Model Inputs'!$D$53*E760+E946)/E203)</f>
        <v>0</v>
      </c>
      <c r="F1132" s="30">
        <f ca="1">IF(F203&lt;1,-(F388+F574+F760+F946),-(F388+F574+'3. General Model Inputs'!$D$53*F760+F946)/F203)</f>
        <v>0</v>
      </c>
      <c r="G1132" s="30">
        <f ca="1">IF(G203&lt;1,-(G388+G574+G760+G946),-(G388+G574+'3. General Model Inputs'!$D$53*G760+G946)/G203)</f>
        <v>31286.395980321842</v>
      </c>
      <c r="H1132" s="30">
        <f ca="1">IF(H203&lt;1,-(H388+H574+H760+H946),-(H388+H574+'3. General Model Inputs'!$D$53*H760+H946)/H203)</f>
        <v>64300.557343491266</v>
      </c>
    </row>
    <row r="1133" spans="2:8">
      <c r="B1133" s="2" t="str">
        <f t="shared" si="214"/>
        <v>Carndo Year 5 Reduction</v>
      </c>
      <c r="D1133" s="30">
        <f ca="1">IF(D204&lt;1,-(D389+D575+D761+D947),-(D389+D575+'3. General Model Inputs'!$D$53*D761+D947)/D204)</f>
        <v>0</v>
      </c>
      <c r="E1133" s="30">
        <f ca="1">IF(E204&lt;1,-(E389+E575+E761+E947),-(E389+E575+'3. General Model Inputs'!$D$53*E761+E947)/E204)</f>
        <v>0</v>
      </c>
      <c r="F1133" s="30">
        <f ca="1">IF(F204&lt;1,-(F389+F575+F761+F947),-(F389+F575+'3. General Model Inputs'!$D$53*F761+F947)/F204)</f>
        <v>0</v>
      </c>
      <c r="G1133" s="30">
        <f ca="1">IF(G204&lt;1,-(G389+G575+G761+G947),-(G389+G575+'3. General Model Inputs'!$D$53*G761+G947)/G204)</f>
        <v>0</v>
      </c>
      <c r="H1133" s="30">
        <f ca="1">IF(H204&lt;1,-(H389+H575+H761+H947),-(H389+H575+'3. General Model Inputs'!$D$53*H761+H947)/H204)</f>
        <v>56446.957247810176</v>
      </c>
    </row>
    <row r="1134" spans="2:8">
      <c r="B1134" s="2" t="s">
        <v>54</v>
      </c>
      <c r="D1134" s="48">
        <f ca="1">SUM(D951:D1133)</f>
        <v>-471351.98313708592</v>
      </c>
      <c r="E1134" s="48">
        <f ca="1">SUM(E951:E1133)</f>
        <v>-1363479.170067881</v>
      </c>
      <c r="F1134" s="48">
        <f ca="1">SUM(F951:F1133)</f>
        <v>-2071950.6144446919</v>
      </c>
      <c r="G1134" s="48">
        <f ca="1">SUM(G951:G1133)</f>
        <v>-2762404.5378765455</v>
      </c>
      <c r="H1134" s="48">
        <f ca="1">SUM(H951:H1133)</f>
        <v>-3634051.9382642927</v>
      </c>
    </row>
    <row r="1135" spans="2:8">
      <c r="D1135" s="30"/>
      <c r="E1135" s="30"/>
      <c r="F1135" s="30"/>
      <c r="G1135" s="30"/>
      <c r="H1135" s="30"/>
    </row>
    <row r="1136" spans="2:8" ht="15.75">
      <c r="B1136" s="10" t="s">
        <v>14</v>
      </c>
      <c r="D1136" s="30"/>
      <c r="E1136" s="30"/>
      <c r="F1136" s="30"/>
      <c r="G1136" s="30"/>
      <c r="H1136" s="30"/>
    </row>
    <row r="1137" spans="2:8">
      <c r="B1137" s="152">
        <f>B951</f>
        <v>0</v>
      </c>
      <c r="D1137" s="30">
        <f ca="1">D207+D393+D765+D951+D579</f>
        <v>166196.53250729165</v>
      </c>
      <c r="E1137" s="30">
        <f ca="1">E207+E393+E765+E951+E579</f>
        <v>167464.13317895745</v>
      </c>
      <c r="F1137" s="30">
        <f ca="1">F207+F393+F765+F951+F579</f>
        <v>168691.24105138946</v>
      </c>
      <c r="G1137" s="30">
        <f ca="1">G207+G393+G765+G951+G579</f>
        <v>169875.03923420623</v>
      </c>
      <c r="H1137" s="30">
        <f ca="1">H207+H393+H765+H951+H579</f>
        <v>171012.59530050674</v>
      </c>
    </row>
    <row r="1138" spans="2:8">
      <c r="B1138" s="152">
        <f t="shared" ref="B1138:B1201" si="215">B952</f>
        <v>0</v>
      </c>
      <c r="D1138" s="30">
        <f t="shared" ref="D1138:H1138" ca="1" si="216">D208+D394+D766+D952+D580</f>
        <v>0</v>
      </c>
      <c r="E1138" s="30">
        <f t="shared" ca="1" si="216"/>
        <v>511000.40996354166</v>
      </c>
      <c r="F1138" s="30">
        <f t="shared" ca="1" si="216"/>
        <v>514897.87071750086</v>
      </c>
      <c r="G1138" s="30">
        <f t="shared" ca="1" si="216"/>
        <v>518670.82925293088</v>
      </c>
      <c r="H1138" s="30">
        <f t="shared" ca="1" si="216"/>
        <v>522310.62454593385</v>
      </c>
    </row>
    <row r="1139" spans="2:8">
      <c r="B1139" s="152">
        <f t="shared" si="215"/>
        <v>0</v>
      </c>
      <c r="D1139" s="30">
        <f t="shared" ref="D1139:H1139" ca="1" si="217">D209+D395+D767+D953+D581</f>
        <v>0</v>
      </c>
      <c r="E1139" s="30">
        <f t="shared" ca="1" si="217"/>
        <v>0</v>
      </c>
      <c r="F1139" s="30">
        <f t="shared" ca="1" si="217"/>
        <v>105850.8409375</v>
      </c>
      <c r="G1139" s="30">
        <f t="shared" ca="1" si="217"/>
        <v>106658.17785990467</v>
      </c>
      <c r="H1139" s="30">
        <f t="shared" ca="1" si="217"/>
        <v>107439.72485284363</v>
      </c>
    </row>
    <row r="1140" spans="2:8">
      <c r="B1140" s="152">
        <f t="shared" si="215"/>
        <v>0</v>
      </c>
      <c r="D1140" s="30">
        <f t="shared" ref="D1140:H1140" ca="1" si="218">D210+D396+D768+D954+D582</f>
        <v>96185.36996666668</v>
      </c>
      <c r="E1140" s="30">
        <f t="shared" ca="1" si="218"/>
        <v>91547.861057559538</v>
      </c>
      <c r="F1140" s="30">
        <f t="shared" ca="1" si="218"/>
        <v>86618.360846767871</v>
      </c>
      <c r="G1140" s="30">
        <f t="shared" ca="1" si="218"/>
        <v>81385.168212275647</v>
      </c>
      <c r="H1140" s="30">
        <f t="shared" ca="1" si="218"/>
        <v>75836.179470529576</v>
      </c>
    </row>
    <row r="1141" spans="2:8">
      <c r="B1141" s="152">
        <f t="shared" si="215"/>
        <v>0</v>
      </c>
      <c r="D1141" s="30">
        <f t="shared" ref="D1141:H1141" ca="1" si="219">D211+D397+D769+D955+D583</f>
        <v>0</v>
      </c>
      <c r="E1141" s="30">
        <f t="shared" ca="1" si="219"/>
        <v>4137.4646083333337</v>
      </c>
      <c r="F1141" s="30">
        <f t="shared" ca="1" si="219"/>
        <v>3937.979707574405</v>
      </c>
      <c r="G1141" s="30">
        <f t="shared" ca="1" si="219"/>
        <v>3725.934646397322</v>
      </c>
      <c r="H1141" s="30">
        <f t="shared" ca="1" si="219"/>
        <v>3500.8260948441507</v>
      </c>
    </row>
    <row r="1142" spans="2:8">
      <c r="B1142" s="152">
        <f t="shared" si="215"/>
        <v>0</v>
      </c>
      <c r="D1142" s="30">
        <f t="shared" ref="D1142:H1142" ca="1" si="220">D212+D398+D770+D956+D584</f>
        <v>274257.52245833335</v>
      </c>
      <c r="E1142" s="30">
        <f t="shared" ca="1" si="220"/>
        <v>276349.31712115114</v>
      </c>
      <c r="F1142" s="30">
        <f t="shared" ca="1" si="220"/>
        <v>278374.29056557338</v>
      </c>
      <c r="G1142" s="30">
        <f t="shared" ca="1" si="220"/>
        <v>280327.794359016</v>
      </c>
      <c r="H1142" s="30">
        <f t="shared" ca="1" si="220"/>
        <v>282204.98941052728</v>
      </c>
    </row>
    <row r="1143" spans="2:8">
      <c r="B1143" s="152">
        <f t="shared" si="215"/>
        <v>0</v>
      </c>
      <c r="D1143" s="30">
        <f t="shared" ref="D1143:H1143" ca="1" si="221">D213+D399+D771+D957+D585</f>
        <v>0</v>
      </c>
      <c r="E1143" s="30">
        <f t="shared" ca="1" si="221"/>
        <v>1843421.6009111111</v>
      </c>
      <c r="F1143" s="30">
        <f t="shared" ca="1" si="221"/>
        <v>1857481.5961722976</v>
      </c>
      <c r="G1143" s="30">
        <f t="shared" ca="1" si="221"/>
        <v>1871092.4526959739</v>
      </c>
      <c r="H1143" s="30">
        <f t="shared" ca="1" si="221"/>
        <v>1884222.9260482264</v>
      </c>
    </row>
    <row r="1144" spans="2:8">
      <c r="B1144" s="152">
        <f t="shared" si="215"/>
        <v>0</v>
      </c>
      <c r="D1144" s="30">
        <f t="shared" ref="D1144:H1144" ca="1" si="222">D214+D400+D772+D958+D586</f>
        <v>0</v>
      </c>
      <c r="E1144" s="30">
        <f t="shared" ca="1" si="222"/>
        <v>0</v>
      </c>
      <c r="F1144" s="30">
        <f t="shared" ca="1" si="222"/>
        <v>4367218.75</v>
      </c>
      <c r="G1144" s="30">
        <f t="shared" ca="1" si="222"/>
        <v>4400528.0455508474</v>
      </c>
      <c r="H1144" s="30">
        <f t="shared" ca="1" si="222"/>
        <v>4432773.2941604871</v>
      </c>
    </row>
    <row r="1145" spans="2:8">
      <c r="B1145" s="152">
        <f t="shared" si="215"/>
        <v>0</v>
      </c>
      <c r="D1145" s="30">
        <f t="shared" ref="D1145:H1145" ca="1" si="223">D215+D401+D773+D959+D587</f>
        <v>0</v>
      </c>
      <c r="E1145" s="30">
        <f t="shared" ca="1" si="223"/>
        <v>0</v>
      </c>
      <c r="F1145" s="30">
        <f t="shared" ca="1" si="223"/>
        <v>523912.50593484874</v>
      </c>
      <c r="G1145" s="30">
        <f t="shared" ca="1" si="223"/>
        <v>527908.44877672475</v>
      </c>
      <c r="H1145" s="30">
        <f t="shared" ca="1" si="223"/>
        <v>531776.74344448524</v>
      </c>
    </row>
    <row r="1146" spans="2:8">
      <c r="B1146" s="152">
        <f t="shared" si="215"/>
        <v>0</v>
      </c>
      <c r="D1146" s="30">
        <f t="shared" ref="D1146:H1146" ca="1" si="224">D216+D402+D774+D960+D588</f>
        <v>0</v>
      </c>
      <c r="E1146" s="30">
        <f t="shared" ca="1" si="224"/>
        <v>0</v>
      </c>
      <c r="F1146" s="30">
        <f t="shared" ca="1" si="224"/>
        <v>0</v>
      </c>
      <c r="G1146" s="30">
        <f t="shared" ca="1" si="224"/>
        <v>2687738.857550479</v>
      </c>
      <c r="H1146" s="30">
        <f t="shared" ca="1" si="224"/>
        <v>2708238.5607012874</v>
      </c>
    </row>
    <row r="1147" spans="2:8">
      <c r="B1147" s="152">
        <f t="shared" si="215"/>
        <v>0</v>
      </c>
      <c r="D1147" s="30">
        <f t="shared" ref="D1147:H1147" ca="1" si="225">D217+D403+D775+D961+D589</f>
        <v>0</v>
      </c>
      <c r="E1147" s="30">
        <f t="shared" ca="1" si="225"/>
        <v>0</v>
      </c>
      <c r="F1147" s="30">
        <f t="shared" ca="1" si="225"/>
        <v>0</v>
      </c>
      <c r="G1147" s="30">
        <f t="shared" ca="1" si="225"/>
        <v>0</v>
      </c>
      <c r="H1147" s="30">
        <f t="shared" ca="1" si="225"/>
        <v>11929811.900887964</v>
      </c>
    </row>
    <row r="1148" spans="2:8">
      <c r="B1148" s="152">
        <f t="shared" si="215"/>
        <v>0</v>
      </c>
      <c r="D1148" s="30">
        <f t="shared" ref="D1148:H1148" ca="1" si="226">D218+D404+D776+D962+D590</f>
        <v>485316.4546609376</v>
      </c>
      <c r="E1148" s="30">
        <f t="shared" ca="1" si="226"/>
        <v>491152.53860939189</v>
      </c>
      <c r="F1148" s="30">
        <f t="shared" ca="1" si="226"/>
        <v>496977.10397110588</v>
      </c>
      <c r="G1148" s="30">
        <f t="shared" ca="1" si="226"/>
        <v>502785.92726427462</v>
      </c>
      <c r="H1148" s="30">
        <f t="shared" ca="1" si="226"/>
        <v>508574.58103211987</v>
      </c>
    </row>
    <row r="1149" spans="2:8">
      <c r="B1149" s="152">
        <f t="shared" si="215"/>
        <v>0</v>
      </c>
      <c r="D1149" s="30">
        <f t="shared" ref="D1149:H1149" ca="1" si="227">D219+D405+D777+D963+D591</f>
        <v>0</v>
      </c>
      <c r="E1149" s="30">
        <f t="shared" ca="1" si="227"/>
        <v>413576.82914687501</v>
      </c>
      <c r="F1149" s="30">
        <f t="shared" ca="1" si="227"/>
        <v>418550.22139610961</v>
      </c>
      <c r="G1149" s="30">
        <f t="shared" ca="1" si="227"/>
        <v>423513.79773958912</v>
      </c>
      <c r="H1149" s="30">
        <f t="shared" ca="1" si="227"/>
        <v>428463.95901187003</v>
      </c>
    </row>
    <row r="1150" spans="2:8">
      <c r="B1150" s="152">
        <f t="shared" si="215"/>
        <v>0</v>
      </c>
      <c r="D1150" s="30">
        <f t="shared" ref="D1150:H1150" ca="1" si="228">D220+D406+D778+D964+D592</f>
        <v>0</v>
      </c>
      <c r="E1150" s="30">
        <f t="shared" ca="1" si="228"/>
        <v>0</v>
      </c>
      <c r="F1150" s="30">
        <f t="shared" ca="1" si="228"/>
        <v>2988796.6665624999</v>
      </c>
      <c r="G1150" s="30">
        <f t="shared" ca="1" si="228"/>
        <v>3024737.8922996442</v>
      </c>
      <c r="H1150" s="30">
        <f t="shared" ca="1" si="228"/>
        <v>3060608.1814070437</v>
      </c>
    </row>
    <row r="1151" spans="2:8">
      <c r="B1151" s="152">
        <f t="shared" si="215"/>
        <v>0</v>
      </c>
      <c r="D1151" s="30">
        <f t="shared" ref="D1151:H1151" ca="1" si="229">D221+D407+D779+D965+D593</f>
        <v>0</v>
      </c>
      <c r="E1151" s="30">
        <f t="shared" ca="1" si="229"/>
        <v>0</v>
      </c>
      <c r="F1151" s="30">
        <f t="shared" ca="1" si="229"/>
        <v>0</v>
      </c>
      <c r="G1151" s="30">
        <f t="shared" ca="1" si="229"/>
        <v>3072877.9334375001</v>
      </c>
      <c r="H1151" s="30">
        <f t="shared" ca="1" si="229"/>
        <v>3109830.263016812</v>
      </c>
    </row>
    <row r="1152" spans="2:8">
      <c r="B1152" s="152">
        <f t="shared" si="215"/>
        <v>0</v>
      </c>
      <c r="D1152" s="30">
        <f t="shared" ref="D1152:H1152" ca="1" si="230">D222+D408+D780+D966+D594</f>
        <v>0</v>
      </c>
      <c r="E1152" s="30">
        <f t="shared" ca="1" si="230"/>
        <v>0</v>
      </c>
      <c r="F1152" s="30">
        <f t="shared" ca="1" si="230"/>
        <v>0</v>
      </c>
      <c r="G1152" s="30">
        <f t="shared" ca="1" si="230"/>
        <v>0</v>
      </c>
      <c r="H1152" s="30">
        <f t="shared" ca="1" si="230"/>
        <v>3162423.2954687499</v>
      </c>
    </row>
    <row r="1153" spans="2:8">
      <c r="B1153" s="152">
        <f t="shared" si="215"/>
        <v>0</v>
      </c>
      <c r="D1153" s="30">
        <f t="shared" ref="D1153:H1153" ca="1" si="231">D223+D409+D781+D967+D595</f>
        <v>2511479.5173125002</v>
      </c>
      <c r="E1153" s="30">
        <f t="shared" ca="1" si="231"/>
        <v>2508259.671777484</v>
      </c>
      <c r="F1153" s="30">
        <f t="shared" ca="1" si="231"/>
        <v>2503309.1592673971</v>
      </c>
      <c r="G1153" s="30">
        <f t="shared" ca="1" si="231"/>
        <v>2496543.4588369448</v>
      </c>
      <c r="H1153" s="30">
        <f t="shared" ca="1" si="231"/>
        <v>2487874.9051604276</v>
      </c>
    </row>
    <row r="1154" spans="2:8">
      <c r="B1154" s="152">
        <f t="shared" si="215"/>
        <v>0</v>
      </c>
      <c r="D1154" s="30">
        <f t="shared" ref="D1154:H1154" ca="1" si="232">D224+D410+D782+D968+D596</f>
        <v>0</v>
      </c>
      <c r="E1154" s="30">
        <f t="shared" ca="1" si="232"/>
        <v>5314527.8808781253</v>
      </c>
      <c r="F1154" s="30">
        <f t="shared" ca="1" si="232"/>
        <v>5307714.3835949479</v>
      </c>
      <c r="G1154" s="30">
        <f t="shared" ca="1" si="232"/>
        <v>5297238.6315220632</v>
      </c>
      <c r="H1154" s="30">
        <f t="shared" ca="1" si="232"/>
        <v>5282921.7703557871</v>
      </c>
    </row>
    <row r="1155" spans="2:8">
      <c r="B1155" s="152">
        <f t="shared" si="215"/>
        <v>0</v>
      </c>
      <c r="D1155" s="30">
        <f t="shared" ref="D1155:H1155" ca="1" si="233">D225+D411+D783+D969+D597</f>
        <v>0</v>
      </c>
      <c r="E1155" s="30">
        <f t="shared" ca="1" si="233"/>
        <v>0</v>
      </c>
      <c r="F1155" s="30">
        <f t="shared" ca="1" si="233"/>
        <v>1368645.9744343746</v>
      </c>
      <c r="G1155" s="30">
        <f t="shared" ca="1" si="233"/>
        <v>1366891.3001081767</v>
      </c>
      <c r="H1155" s="30">
        <f t="shared" ca="1" si="233"/>
        <v>1364193.4883316474</v>
      </c>
    </row>
    <row r="1156" spans="2:8">
      <c r="B1156" s="152">
        <f t="shared" si="215"/>
        <v>0</v>
      </c>
      <c r="D1156" s="30">
        <f t="shared" ref="D1156:H1156" ca="1" si="234">D226+D412+D784+D970+D598</f>
        <v>0</v>
      </c>
      <c r="E1156" s="30">
        <f t="shared" ca="1" si="234"/>
        <v>0</v>
      </c>
      <c r="F1156" s="30">
        <f t="shared" ca="1" si="234"/>
        <v>1046042.0350908363</v>
      </c>
      <c r="G1156" s="30">
        <f t="shared" ca="1" si="234"/>
        <v>1050311.5944177378</v>
      </c>
      <c r="H1156" s="30">
        <f t="shared" ca="1" si="234"/>
        <v>1054140.8554390525</v>
      </c>
    </row>
    <row r="1157" spans="2:8">
      <c r="B1157" s="152">
        <f t="shared" si="215"/>
        <v>0</v>
      </c>
      <c r="D1157" s="30">
        <f t="shared" ref="D1157:H1157" ca="1" si="235">D227+D413+D785+D971+D599</f>
        <v>0</v>
      </c>
      <c r="E1157" s="30">
        <f t="shared" ca="1" si="235"/>
        <v>0</v>
      </c>
      <c r="F1157" s="30">
        <f t="shared" ca="1" si="235"/>
        <v>0</v>
      </c>
      <c r="G1157" s="30">
        <f t="shared" ca="1" si="235"/>
        <v>3219798.4882931341</v>
      </c>
      <c r="H1157" s="30">
        <f t="shared" ca="1" si="235"/>
        <v>3232940.5229392289</v>
      </c>
    </row>
    <row r="1158" spans="2:8">
      <c r="B1158" s="152">
        <f t="shared" si="215"/>
        <v>0</v>
      </c>
      <c r="D1158" s="30">
        <f t="shared" ref="D1158:H1158" ca="1" si="236">D228+D414+D786+D972+D600</f>
        <v>0</v>
      </c>
      <c r="E1158" s="30">
        <f t="shared" ca="1" si="236"/>
        <v>0</v>
      </c>
      <c r="F1158" s="30">
        <f t="shared" ca="1" si="236"/>
        <v>0</v>
      </c>
      <c r="G1158" s="30">
        <f t="shared" ca="1" si="236"/>
        <v>0</v>
      </c>
      <c r="H1158" s="30">
        <f t="shared" ca="1" si="236"/>
        <v>4330731.6940739742</v>
      </c>
    </row>
    <row r="1159" spans="2:8">
      <c r="B1159" s="152">
        <f t="shared" si="215"/>
        <v>0</v>
      </c>
      <c r="D1159" s="30">
        <f t="shared" ref="D1159:H1159" ca="1" si="237">D229+D415+D787+D973+D601</f>
        <v>0</v>
      </c>
      <c r="E1159" s="30">
        <f t="shared" ca="1" si="237"/>
        <v>282599.78708333336</v>
      </c>
      <c r="F1159" s="30">
        <f t="shared" ca="1" si="237"/>
        <v>279676.34101005748</v>
      </c>
      <c r="G1159" s="30">
        <f t="shared" ca="1" si="237"/>
        <v>276430.09776619077</v>
      </c>
      <c r="H1159" s="30">
        <f t="shared" ca="1" si="237"/>
        <v>272846.7446469994</v>
      </c>
    </row>
    <row r="1160" spans="2:8">
      <c r="B1160" s="152">
        <f t="shared" si="215"/>
        <v>0</v>
      </c>
      <c r="D1160" s="30">
        <f t="shared" ref="D1160:H1160" ca="1" si="238">D230+D416+D788+D974+D602</f>
        <v>0</v>
      </c>
      <c r="E1160" s="30">
        <f t="shared" ca="1" si="238"/>
        <v>0</v>
      </c>
      <c r="F1160" s="30">
        <f t="shared" ca="1" si="238"/>
        <v>457755.29458333331</v>
      </c>
      <c r="G1160" s="30">
        <f t="shared" ca="1" si="238"/>
        <v>453019.89498419536</v>
      </c>
      <c r="H1160" s="30">
        <f t="shared" ca="1" si="238"/>
        <v>447761.62834598596</v>
      </c>
    </row>
    <row r="1161" spans="2:8">
      <c r="B1161" s="152">
        <f t="shared" si="215"/>
        <v>0</v>
      </c>
      <c r="D1161" s="30">
        <f t="shared" ref="D1161:H1161" ca="1" si="239">D231+D417+D789+D975+D603</f>
        <v>0</v>
      </c>
      <c r="E1161" s="30">
        <f t="shared" ca="1" si="239"/>
        <v>0</v>
      </c>
      <c r="F1161" s="30">
        <f t="shared" ca="1" si="239"/>
        <v>0</v>
      </c>
      <c r="G1161" s="30">
        <f t="shared" ca="1" si="239"/>
        <v>3316654.6724999999</v>
      </c>
      <c r="H1161" s="30">
        <f t="shared" ca="1" si="239"/>
        <v>3282344.45175</v>
      </c>
    </row>
    <row r="1162" spans="2:8">
      <c r="B1162" s="152">
        <f t="shared" si="215"/>
        <v>0</v>
      </c>
      <c r="D1162" s="30">
        <f t="shared" ref="D1162:H1162" ca="1" si="240">D232+D418+D790+D976+D604</f>
        <v>0</v>
      </c>
      <c r="E1162" s="30">
        <f t="shared" ca="1" si="240"/>
        <v>0</v>
      </c>
      <c r="F1162" s="30">
        <f t="shared" ca="1" si="240"/>
        <v>0</v>
      </c>
      <c r="G1162" s="30">
        <f t="shared" ca="1" si="240"/>
        <v>0</v>
      </c>
      <c r="H1162" s="30">
        <f t="shared" ca="1" si="240"/>
        <v>3413304.6537500001</v>
      </c>
    </row>
    <row r="1163" spans="2:8">
      <c r="B1163" s="152">
        <f t="shared" si="215"/>
        <v>0</v>
      </c>
      <c r="D1163" s="30">
        <f t="shared" ref="D1163:H1163" ca="1" si="241">D233+D419+D791+D977+D605</f>
        <v>0</v>
      </c>
      <c r="E1163" s="30">
        <f t="shared" ca="1" si="241"/>
        <v>0</v>
      </c>
      <c r="F1163" s="30">
        <f t="shared" ca="1" si="241"/>
        <v>3166175.0190625</v>
      </c>
      <c r="G1163" s="30">
        <f t="shared" ca="1" si="241"/>
        <v>3204249.2756208465</v>
      </c>
      <c r="H1163" s="30">
        <f t="shared" ca="1" si="241"/>
        <v>3242248.3856201963</v>
      </c>
    </row>
    <row r="1164" spans="2:8">
      <c r="B1164" s="152">
        <f t="shared" si="215"/>
        <v>0</v>
      </c>
      <c r="D1164" s="30">
        <f t="shared" ref="D1164:H1164" ca="1" si="242">D234+D420+D792+D978+D606</f>
        <v>0</v>
      </c>
      <c r="E1164" s="30">
        <f t="shared" ca="1" si="242"/>
        <v>0</v>
      </c>
      <c r="F1164" s="30">
        <f t="shared" ca="1" si="242"/>
        <v>0</v>
      </c>
      <c r="G1164" s="30">
        <f t="shared" ca="1" si="242"/>
        <v>2767955.0640624999</v>
      </c>
      <c r="H1164" s="30">
        <f t="shared" ca="1" si="242"/>
        <v>2801240.5996429981</v>
      </c>
    </row>
    <row r="1165" spans="2:8">
      <c r="B1165" s="152">
        <f t="shared" si="215"/>
        <v>0</v>
      </c>
      <c r="D1165" s="30">
        <f t="shared" ref="D1165:H1165" ca="1" si="243">D235+D421+D793+D979+D607</f>
        <v>0</v>
      </c>
      <c r="E1165" s="30">
        <f t="shared" ca="1" si="243"/>
        <v>0</v>
      </c>
      <c r="F1165" s="30">
        <f t="shared" ca="1" si="243"/>
        <v>0</v>
      </c>
      <c r="G1165" s="30">
        <f t="shared" ca="1" si="243"/>
        <v>0</v>
      </c>
      <c r="H1165" s="30">
        <f t="shared" ca="1" si="243"/>
        <v>1309004.431875</v>
      </c>
    </row>
    <row r="1166" spans="2:8">
      <c r="B1166" s="152">
        <f t="shared" si="215"/>
        <v>0</v>
      </c>
      <c r="D1166" s="30">
        <f t="shared" ref="D1166:H1166" ca="1" si="244">D236+D422+D794+D980+D608</f>
        <v>0</v>
      </c>
      <c r="E1166" s="30">
        <f t="shared" ca="1" si="244"/>
        <v>199937.5</v>
      </c>
      <c r="F1166" s="30">
        <f t="shared" ca="1" si="244"/>
        <v>199681.16987179487</v>
      </c>
      <c r="G1166" s="30">
        <f t="shared" ca="1" si="244"/>
        <v>199287.0622996795</v>
      </c>
      <c r="H1166" s="30">
        <f t="shared" ca="1" si="244"/>
        <v>198748.4486177885</v>
      </c>
    </row>
    <row r="1167" spans="2:8">
      <c r="B1167" s="152">
        <f t="shared" si="215"/>
        <v>0</v>
      </c>
      <c r="D1167" s="30">
        <f t="shared" ref="D1167:H1167" ca="1" si="245">D237+D423+D795+D981+D609</f>
        <v>0</v>
      </c>
      <c r="E1167" s="30">
        <f t="shared" ca="1" si="245"/>
        <v>0</v>
      </c>
      <c r="F1167" s="30">
        <f t="shared" ca="1" si="245"/>
        <v>609998.31593749998</v>
      </c>
      <c r="G1167" s="30">
        <f t="shared" ca="1" si="245"/>
        <v>609216.26681450324</v>
      </c>
      <c r="H1167" s="30">
        <f t="shared" ca="1" si="245"/>
        <v>608013.86628789571</v>
      </c>
    </row>
    <row r="1168" spans="2:8">
      <c r="B1168" s="152">
        <f t="shared" si="215"/>
        <v>0</v>
      </c>
      <c r="D1168" s="30">
        <f t="shared" ref="D1168:H1168" ca="1" si="246">D238+D424+D796+D982+D610</f>
        <v>0</v>
      </c>
      <c r="E1168" s="30">
        <f t="shared" ca="1" si="246"/>
        <v>0</v>
      </c>
      <c r="F1168" s="30">
        <f t="shared" ca="1" si="246"/>
        <v>0</v>
      </c>
      <c r="G1168" s="30">
        <f t="shared" ca="1" si="246"/>
        <v>2384358.6549999998</v>
      </c>
      <c r="H1168" s="30">
        <f t="shared" ca="1" si="246"/>
        <v>2381301.7849294869</v>
      </c>
    </row>
    <row r="1169" spans="2:8">
      <c r="B1169" s="152">
        <f t="shared" si="215"/>
        <v>0</v>
      </c>
      <c r="D1169" s="30">
        <f t="shared" ref="D1169:H1169" ca="1" si="247">D239+D425+D797+D983+D611</f>
        <v>0</v>
      </c>
      <c r="E1169" s="30">
        <f t="shared" ca="1" si="247"/>
        <v>0</v>
      </c>
      <c r="F1169" s="30">
        <f t="shared" ca="1" si="247"/>
        <v>0</v>
      </c>
      <c r="G1169" s="30">
        <f t="shared" ca="1" si="247"/>
        <v>0</v>
      </c>
      <c r="H1169" s="30">
        <f t="shared" ca="1" si="247"/>
        <v>3427949.4309375002</v>
      </c>
    </row>
    <row r="1170" spans="2:8">
      <c r="B1170" s="152">
        <f t="shared" si="215"/>
        <v>0</v>
      </c>
      <c r="D1170" s="30">
        <f t="shared" ref="D1170:H1170" ca="1" si="248">D240+D426+D798+D984+D612</f>
        <v>5400591.1810424998</v>
      </c>
      <c r="E1170" s="30">
        <f t="shared" ca="1" si="248"/>
        <v>5422634.4103528773</v>
      </c>
      <c r="F1170" s="30">
        <f t="shared" ca="1" si="248"/>
        <v>5442404.4316406222</v>
      </c>
      <c r="G1170" s="30">
        <f t="shared" ca="1" si="248"/>
        <v>5459773.8074862836</v>
      </c>
      <c r="H1170" s="30">
        <f t="shared" ca="1" si="248"/>
        <v>5474610.1493544532</v>
      </c>
    </row>
    <row r="1171" spans="2:8">
      <c r="B1171" s="152">
        <f t="shared" si="215"/>
        <v>0</v>
      </c>
      <c r="D1171" s="30">
        <f t="shared" ref="D1171:H1171" ca="1" si="249">D241+D427+D799+D985+D613</f>
        <v>0</v>
      </c>
      <c r="E1171" s="30">
        <f t="shared" ca="1" si="249"/>
        <v>850559.56272500008</v>
      </c>
      <c r="F1171" s="30">
        <f t="shared" ca="1" si="249"/>
        <v>854031.234409592</v>
      </c>
      <c r="G1171" s="30">
        <f t="shared" ca="1" si="249"/>
        <v>857144.88995171024</v>
      </c>
      <c r="H1171" s="30">
        <f t="shared" ca="1" si="249"/>
        <v>859880.45874942851</v>
      </c>
    </row>
    <row r="1172" spans="2:8">
      <c r="B1172" s="152">
        <f t="shared" si="215"/>
        <v>0</v>
      </c>
      <c r="D1172" s="30">
        <f t="shared" ref="D1172:H1172" ca="1" si="250">D242+D428+D800+D986+D614</f>
        <v>6061254.1936656255</v>
      </c>
      <c r="E1172" s="30">
        <f t="shared" ca="1" si="250"/>
        <v>6134142.6934628701</v>
      </c>
      <c r="F1172" s="30">
        <f t="shared" ca="1" si="250"/>
        <v>6206887.3343789354</v>
      </c>
      <c r="G1172" s="30">
        <f t="shared" ca="1" si="250"/>
        <v>6279435.3681573905</v>
      </c>
      <c r="H1172" s="30">
        <f t="shared" ca="1" si="250"/>
        <v>6351731.4990407815</v>
      </c>
    </row>
    <row r="1173" spans="2:8">
      <c r="B1173" s="152">
        <f t="shared" si="215"/>
        <v>0</v>
      </c>
      <c r="D1173" s="30">
        <f t="shared" ref="D1173:H1173" ca="1" si="251">D243+D429+D801+D987+D615</f>
        <v>0</v>
      </c>
      <c r="E1173" s="30">
        <f t="shared" ca="1" si="251"/>
        <v>176586.19452499997</v>
      </c>
      <c r="F1173" s="30">
        <f t="shared" ca="1" si="251"/>
        <v>178709.69939587024</v>
      </c>
      <c r="G1173" s="30">
        <f t="shared" ca="1" si="251"/>
        <v>180829.01313870589</v>
      </c>
      <c r="H1173" s="30">
        <f t="shared" ca="1" si="251"/>
        <v>182942.59900656089</v>
      </c>
    </row>
    <row r="1174" spans="2:8">
      <c r="B1174" s="152">
        <f t="shared" si="215"/>
        <v>0</v>
      </c>
      <c r="D1174" s="30">
        <f t="shared" ref="D1174:H1174" ca="1" si="252">D244+D430+D802+D988+D616</f>
        <v>0</v>
      </c>
      <c r="E1174" s="30">
        <f t="shared" ca="1" si="252"/>
        <v>0</v>
      </c>
      <c r="F1174" s="30">
        <f t="shared" ca="1" si="252"/>
        <v>0</v>
      </c>
      <c r="G1174" s="30">
        <f t="shared" ca="1" si="252"/>
        <v>1115038.29125</v>
      </c>
      <c r="H1174" s="30">
        <f t="shared" ca="1" si="252"/>
        <v>1123542.8205900425</v>
      </c>
    </row>
    <row r="1175" spans="2:8">
      <c r="B1175" s="152">
        <f t="shared" si="215"/>
        <v>0</v>
      </c>
      <c r="D1175" s="30">
        <f t="shared" ref="D1175:H1175" ca="1" si="253">D245+D431+D803+D989+D617</f>
        <v>0</v>
      </c>
      <c r="E1175" s="30">
        <f t="shared" ca="1" si="253"/>
        <v>0</v>
      </c>
      <c r="F1175" s="30">
        <f t="shared" ca="1" si="253"/>
        <v>0</v>
      </c>
      <c r="G1175" s="30">
        <f t="shared" ca="1" si="253"/>
        <v>0</v>
      </c>
      <c r="H1175" s="30">
        <f t="shared" ca="1" si="253"/>
        <v>4633158.2768750004</v>
      </c>
    </row>
    <row r="1176" spans="2:8">
      <c r="B1176" s="152">
        <f t="shared" si="215"/>
        <v>0</v>
      </c>
      <c r="D1176" s="30">
        <f t="shared" ref="D1176:H1176" ca="1" si="254">D246+D432+D804+D990+D618</f>
        <v>0</v>
      </c>
      <c r="E1176" s="30">
        <f t="shared" ca="1" si="254"/>
        <v>0</v>
      </c>
      <c r="F1176" s="30">
        <f t="shared" ca="1" si="254"/>
        <v>538691.13416997937</v>
      </c>
      <c r="G1176" s="30">
        <f t="shared" ca="1" si="254"/>
        <v>545169.06553025125</v>
      </c>
      <c r="H1176" s="30">
        <f t="shared" ca="1" si="254"/>
        <v>551634.21149968053</v>
      </c>
    </row>
    <row r="1177" spans="2:8">
      <c r="B1177" s="152">
        <f t="shared" si="215"/>
        <v>0</v>
      </c>
      <c r="D1177" s="30">
        <f t="shared" ref="D1177:H1177" ca="1" si="255">D247+D433+D805+D991+D619</f>
        <v>0</v>
      </c>
      <c r="E1177" s="30">
        <f t="shared" ca="1" si="255"/>
        <v>0</v>
      </c>
      <c r="F1177" s="30">
        <f t="shared" ca="1" si="255"/>
        <v>0</v>
      </c>
      <c r="G1177" s="30">
        <f t="shared" ca="1" si="255"/>
        <v>2362392.6886813571</v>
      </c>
      <c r="H1177" s="30">
        <f t="shared" ca="1" si="255"/>
        <v>2390801.2083553732</v>
      </c>
    </row>
    <row r="1178" spans="2:8">
      <c r="B1178" s="152">
        <f t="shared" si="215"/>
        <v>0</v>
      </c>
      <c r="D1178" s="30">
        <f t="shared" ref="D1178:H1178" ca="1" si="256">D248+D434+D806+D992+D620</f>
        <v>0</v>
      </c>
      <c r="E1178" s="30">
        <f t="shared" ca="1" si="256"/>
        <v>0</v>
      </c>
      <c r="F1178" s="30">
        <f t="shared" ca="1" si="256"/>
        <v>0</v>
      </c>
      <c r="G1178" s="30">
        <f t="shared" ca="1" si="256"/>
        <v>0</v>
      </c>
      <c r="H1178" s="30">
        <f t="shared" ca="1" si="256"/>
        <v>2428851.7022671388</v>
      </c>
    </row>
    <row r="1179" spans="2:8">
      <c r="B1179" s="152">
        <f t="shared" si="215"/>
        <v>0</v>
      </c>
      <c r="D1179" s="30">
        <f t="shared" ref="D1179:H1179" ca="1" si="257">D249+D435+D807+D993+D621</f>
        <v>562754.19434062508</v>
      </c>
      <c r="E1179" s="30">
        <f t="shared" ca="1" si="257"/>
        <v>562032.71460429102</v>
      </c>
      <c r="F1179" s="30">
        <f t="shared" ca="1" si="257"/>
        <v>560923.43950967735</v>
      </c>
      <c r="G1179" s="30">
        <f t="shared" ca="1" si="257"/>
        <v>559407.43021370529</v>
      </c>
      <c r="H1179" s="30">
        <f t="shared" ca="1" si="257"/>
        <v>557465.04330324102</v>
      </c>
    </row>
    <row r="1180" spans="2:8">
      <c r="B1180" s="152">
        <f t="shared" si="215"/>
        <v>0</v>
      </c>
      <c r="D1180" s="30">
        <f t="shared" ref="D1180:H1180" ca="1" si="258">D250+D436+D808+D994+D622</f>
        <v>0</v>
      </c>
      <c r="E1180" s="30">
        <f t="shared" ca="1" si="258"/>
        <v>2564544.6692687497</v>
      </c>
      <c r="F1180" s="30">
        <f t="shared" ca="1" si="258"/>
        <v>2561256.7914876356</v>
      </c>
      <c r="G1180" s="30">
        <f t="shared" ca="1" si="258"/>
        <v>2556201.6793991732</v>
      </c>
      <c r="H1180" s="30">
        <f t="shared" ca="1" si="258"/>
        <v>2549293.0262116082</v>
      </c>
    </row>
    <row r="1181" spans="2:8">
      <c r="B1181" s="152">
        <f t="shared" si="215"/>
        <v>0</v>
      </c>
      <c r="D1181" s="30">
        <f t="shared" ref="D1181:H1181" ca="1" si="259">D251+D437+D809+D995+D623</f>
        <v>0</v>
      </c>
      <c r="E1181" s="30">
        <f t="shared" ca="1" si="259"/>
        <v>0</v>
      </c>
      <c r="F1181" s="30">
        <f t="shared" ca="1" si="259"/>
        <v>2009871.71875</v>
      </c>
      <c r="G1181" s="30">
        <f t="shared" ca="1" si="259"/>
        <v>2007294.960136218</v>
      </c>
      <c r="H1181" s="30">
        <f t="shared" ca="1" si="259"/>
        <v>2003333.193767528</v>
      </c>
    </row>
    <row r="1182" spans="2:8">
      <c r="B1182" s="152">
        <f t="shared" si="215"/>
        <v>0</v>
      </c>
      <c r="D1182" s="30">
        <f t="shared" ref="D1182:H1182" ca="1" si="260">D252+D438+D810+D996+D624</f>
        <v>0</v>
      </c>
      <c r="E1182" s="30">
        <f t="shared" ca="1" si="260"/>
        <v>199937.5</v>
      </c>
      <c r="F1182" s="30">
        <f t="shared" ca="1" si="260"/>
        <v>199681.16987179487</v>
      </c>
      <c r="G1182" s="30">
        <f t="shared" ca="1" si="260"/>
        <v>199287.0622996795</v>
      </c>
      <c r="H1182" s="30">
        <f t="shared" ca="1" si="260"/>
        <v>198748.4486177885</v>
      </c>
    </row>
    <row r="1183" spans="2:8">
      <c r="B1183" s="152">
        <f t="shared" si="215"/>
        <v>0</v>
      </c>
      <c r="D1183" s="30">
        <f t="shared" ref="D1183:H1183" ca="1" si="261">D253+D439+D811+D997+D625</f>
        <v>0</v>
      </c>
      <c r="E1183" s="30">
        <f t="shared" ca="1" si="261"/>
        <v>0</v>
      </c>
      <c r="F1183" s="30">
        <f t="shared" ca="1" si="261"/>
        <v>2349846.4434374999</v>
      </c>
      <c r="G1183" s="30">
        <f t="shared" ca="1" si="261"/>
        <v>2346833.8197920672</v>
      </c>
      <c r="H1183" s="30">
        <f t="shared" ca="1" si="261"/>
        <v>2342201.9109372143</v>
      </c>
    </row>
    <row r="1184" spans="2:8">
      <c r="B1184" s="152">
        <f t="shared" si="215"/>
        <v>0</v>
      </c>
      <c r="D1184" s="30">
        <f t="shared" ref="D1184:H1184" ca="1" si="262">D254+D440+D812+D998+D626</f>
        <v>0</v>
      </c>
      <c r="E1184" s="30">
        <f t="shared" ca="1" si="262"/>
        <v>0</v>
      </c>
      <c r="F1184" s="30">
        <f t="shared" ca="1" si="262"/>
        <v>0</v>
      </c>
      <c r="G1184" s="30">
        <f t="shared" ca="1" si="262"/>
        <v>2179532.683125</v>
      </c>
      <c r="H1184" s="30">
        <f t="shared" ca="1" si="262"/>
        <v>2176738.4104543272</v>
      </c>
    </row>
    <row r="1185" spans="2:8">
      <c r="B1185" s="152">
        <f t="shared" si="215"/>
        <v>0</v>
      </c>
      <c r="D1185" s="30">
        <f t="shared" ref="D1185:H1185" ca="1" si="263">D255+D441+D813+D999+D627</f>
        <v>0</v>
      </c>
      <c r="E1185" s="30">
        <f t="shared" ca="1" si="263"/>
        <v>199937.5</v>
      </c>
      <c r="F1185" s="30">
        <f t="shared" ca="1" si="263"/>
        <v>199681.16987179487</v>
      </c>
      <c r="G1185" s="30">
        <f t="shared" ca="1" si="263"/>
        <v>199287.0622996795</v>
      </c>
      <c r="H1185" s="30">
        <f t="shared" ca="1" si="263"/>
        <v>198748.4486177885</v>
      </c>
    </row>
    <row r="1186" spans="2:8">
      <c r="B1186" s="152">
        <f t="shared" si="215"/>
        <v>0</v>
      </c>
      <c r="D1186" s="30">
        <f t="shared" ref="D1186:H1186" ca="1" si="264">D256+D442+D814+D1000+D628</f>
        <v>0</v>
      </c>
      <c r="E1186" s="30">
        <f t="shared" ca="1" si="264"/>
        <v>0</v>
      </c>
      <c r="F1186" s="30">
        <f t="shared" ca="1" si="264"/>
        <v>2472733.0293749999</v>
      </c>
      <c r="G1186" s="30">
        <f t="shared" ca="1" si="264"/>
        <v>2469562.858824519</v>
      </c>
      <c r="H1186" s="30">
        <f t="shared" ca="1" si="264"/>
        <v>2464688.7216031551</v>
      </c>
    </row>
    <row r="1187" spans="2:8">
      <c r="B1187" s="152">
        <f t="shared" si="215"/>
        <v>0</v>
      </c>
      <c r="D1187" s="30">
        <f t="shared" ref="D1187:H1187" ca="1" si="265">D257+D443+D815+D1001+D629</f>
        <v>0</v>
      </c>
      <c r="E1187" s="30">
        <f t="shared" ca="1" si="265"/>
        <v>0</v>
      </c>
      <c r="F1187" s="30">
        <f t="shared" ca="1" si="265"/>
        <v>0</v>
      </c>
      <c r="G1187" s="30">
        <f t="shared" ca="1" si="265"/>
        <v>1387869.1553125</v>
      </c>
      <c r="H1187" s="30">
        <f t="shared" ca="1" si="265"/>
        <v>1386089.835882612</v>
      </c>
    </row>
    <row r="1188" spans="2:8">
      <c r="B1188" s="152">
        <f t="shared" si="215"/>
        <v>0</v>
      </c>
      <c r="D1188" s="30">
        <f t="shared" ref="D1188:H1188" ca="1" si="266">D258+D444+D816+D1002+D630</f>
        <v>0</v>
      </c>
      <c r="E1188" s="30">
        <f t="shared" ca="1" si="266"/>
        <v>0</v>
      </c>
      <c r="F1188" s="30">
        <f t="shared" ca="1" si="266"/>
        <v>185609.97875000001</v>
      </c>
      <c r="G1188" s="30">
        <f t="shared" ca="1" si="266"/>
        <v>185372.01723878205</v>
      </c>
      <c r="H1188" s="30">
        <f t="shared" ca="1" si="266"/>
        <v>185006.15141528443</v>
      </c>
    </row>
    <row r="1189" spans="2:8">
      <c r="B1189" s="152">
        <f t="shared" si="215"/>
        <v>0</v>
      </c>
      <c r="D1189" s="30">
        <f t="shared" ref="D1189:H1189" ca="1" si="267">D259+D445+D817+D1003+D631</f>
        <v>0</v>
      </c>
      <c r="E1189" s="30">
        <f t="shared" ca="1" si="267"/>
        <v>0</v>
      </c>
      <c r="F1189" s="30">
        <f t="shared" ca="1" si="267"/>
        <v>0</v>
      </c>
      <c r="G1189" s="30">
        <f t="shared" ca="1" si="267"/>
        <v>2109560.5562499999</v>
      </c>
      <c r="H1189" s="30">
        <f t="shared" ca="1" si="267"/>
        <v>2106855.9914342947</v>
      </c>
    </row>
    <row r="1190" spans="2:8">
      <c r="B1190" s="152">
        <f t="shared" si="215"/>
        <v>0</v>
      </c>
      <c r="D1190" s="30">
        <f t="shared" ref="D1190:H1190" ca="1" si="268">D260+D446+D818+D1004+D632</f>
        <v>0</v>
      </c>
      <c r="E1190" s="30">
        <f t="shared" ca="1" si="268"/>
        <v>0</v>
      </c>
      <c r="F1190" s="30">
        <f t="shared" ca="1" si="268"/>
        <v>0</v>
      </c>
      <c r="G1190" s="30">
        <f t="shared" ca="1" si="268"/>
        <v>0</v>
      </c>
      <c r="H1190" s="30">
        <f t="shared" ca="1" si="268"/>
        <v>1485444.6534374999</v>
      </c>
    </row>
    <row r="1191" spans="2:8">
      <c r="B1191" s="152">
        <f t="shared" si="215"/>
        <v>0</v>
      </c>
      <c r="D1191" s="30">
        <f t="shared" ref="D1191:H1191" ca="1" si="269">D261+D447+D819+D1005+D633</f>
        <v>1011152.6308375</v>
      </c>
      <c r="E1191" s="30">
        <f t="shared" ca="1" si="269"/>
        <v>1023312.0612083307</v>
      </c>
      <c r="F1191" s="30">
        <f t="shared" ca="1" si="269"/>
        <v>1035447.4927034295</v>
      </c>
      <c r="G1191" s="30">
        <f t="shared" ca="1" si="269"/>
        <v>1047550.1257350281</v>
      </c>
      <c r="H1191" s="30">
        <f t="shared" ca="1" si="269"/>
        <v>1059610.7357352667</v>
      </c>
    </row>
    <row r="1192" spans="2:8">
      <c r="B1192" s="152">
        <f t="shared" si="215"/>
        <v>0</v>
      </c>
      <c r="D1192" s="30">
        <f t="shared" ref="D1192:H1192" ca="1" si="270">D262+D448+D820+D1006+D634</f>
        <v>0</v>
      </c>
      <c r="E1192" s="30">
        <f t="shared" ca="1" si="270"/>
        <v>2032873.2603640624</v>
      </c>
      <c r="F1192" s="30">
        <f t="shared" ca="1" si="270"/>
        <v>2057319.2046342632</v>
      </c>
      <c r="G1192" s="30">
        <f t="shared" ca="1" si="270"/>
        <v>2081716.9003302464</v>
      </c>
      <c r="H1192" s="30">
        <f t="shared" ca="1" si="270"/>
        <v>2106048.6563081322</v>
      </c>
    </row>
    <row r="1193" spans="2:8">
      <c r="B1193" s="152">
        <f t="shared" si="215"/>
        <v>0</v>
      </c>
      <c r="D1193" s="30">
        <f t="shared" ref="D1193:H1193" ca="1" si="271">D263+D449+D821+D1007+D635</f>
        <v>0</v>
      </c>
      <c r="E1193" s="30">
        <f t="shared" ca="1" si="271"/>
        <v>0</v>
      </c>
      <c r="F1193" s="30">
        <f t="shared" ca="1" si="271"/>
        <v>332798.70890625002</v>
      </c>
      <c r="G1193" s="30">
        <f t="shared" ca="1" si="271"/>
        <v>336800.71869689482</v>
      </c>
      <c r="H1193" s="30">
        <f t="shared" ca="1" si="271"/>
        <v>340794.82978400541</v>
      </c>
    </row>
    <row r="1194" spans="2:8">
      <c r="B1194" s="152">
        <f t="shared" si="215"/>
        <v>0</v>
      </c>
      <c r="D1194" s="30">
        <f t="shared" ref="D1194:H1194" ca="1" si="272">D264+D450+D822+D1008+D636</f>
        <v>2987632.6835208335</v>
      </c>
      <c r="E1194" s="30">
        <f t="shared" ca="1" si="272"/>
        <v>2956726.1385188941</v>
      </c>
      <c r="F1194" s="30">
        <f t="shared" ca="1" si="272"/>
        <v>2922406.9958396573</v>
      </c>
      <c r="G1194" s="30">
        <f t="shared" ca="1" si="272"/>
        <v>2884523.9421898839</v>
      </c>
      <c r="H1194" s="30">
        <f t="shared" ca="1" si="272"/>
        <v>2842920.231485222</v>
      </c>
    </row>
    <row r="1195" spans="2:8">
      <c r="B1195" s="152">
        <f t="shared" si="215"/>
        <v>0</v>
      </c>
      <c r="D1195" s="30">
        <f t="shared" ref="D1195:H1195" ca="1" si="273">D265+D451+D823+D1009+D637</f>
        <v>0</v>
      </c>
      <c r="E1195" s="30">
        <f t="shared" ca="1" si="273"/>
        <v>80102.124812500013</v>
      </c>
      <c r="F1195" s="30">
        <f t="shared" ca="1" si="273"/>
        <v>79273.482142025867</v>
      </c>
      <c r="G1195" s="30">
        <f t="shared" ca="1" si="273"/>
        <v>78353.343510020204</v>
      </c>
      <c r="H1195" s="30">
        <f t="shared" ca="1" si="273"/>
        <v>77337.652020075489</v>
      </c>
    </row>
    <row r="1196" spans="2:8">
      <c r="B1196" s="152">
        <f t="shared" si="215"/>
        <v>0</v>
      </c>
      <c r="D1196" s="30">
        <f t="shared" ref="D1196:H1196" ca="1" si="274">D266+D452+D824+D1010+D638</f>
        <v>321545.56334749993</v>
      </c>
      <c r="E1196" s="30">
        <f t="shared" ca="1" si="274"/>
        <v>322857.99421830609</v>
      </c>
      <c r="F1196" s="30">
        <f t="shared" ca="1" si="274"/>
        <v>324035.0806555603</v>
      </c>
      <c r="G1196" s="30">
        <f t="shared" ca="1" si="274"/>
        <v>325069.23516829079</v>
      </c>
      <c r="H1196" s="30">
        <f t="shared" ca="1" si="274"/>
        <v>325952.57548124809</v>
      </c>
    </row>
    <row r="1197" spans="2:8">
      <c r="B1197" s="152">
        <f t="shared" si="215"/>
        <v>0</v>
      </c>
      <c r="D1197" s="30">
        <f t="shared" ref="D1197:H1197" ca="1" si="275">D267+D453+D825+D1011+D639</f>
        <v>0</v>
      </c>
      <c r="E1197" s="30">
        <f t="shared" ca="1" si="275"/>
        <v>1796651.3704550001</v>
      </c>
      <c r="F1197" s="30">
        <f t="shared" ca="1" si="275"/>
        <v>1803984.6413548163</v>
      </c>
      <c r="G1197" s="30">
        <f t="shared" ca="1" si="275"/>
        <v>1810561.6686930892</v>
      </c>
      <c r="H1197" s="30">
        <f t="shared" ca="1" si="275"/>
        <v>1816340.0569974289</v>
      </c>
    </row>
    <row r="1198" spans="2:8">
      <c r="B1198" s="152">
        <f t="shared" si="215"/>
        <v>0</v>
      </c>
      <c r="D1198" s="30">
        <f t="shared" ref="D1198:H1198" ca="1" si="276">D268+D454+D826+D1012+D640</f>
        <v>0</v>
      </c>
      <c r="E1198" s="30">
        <f t="shared" ca="1" si="276"/>
        <v>0</v>
      </c>
      <c r="F1198" s="30">
        <f t="shared" ca="1" si="276"/>
        <v>50112.5</v>
      </c>
      <c r="G1198" s="30">
        <f t="shared" ca="1" si="276"/>
        <v>50317.040816326531</v>
      </c>
      <c r="H1198" s="30">
        <f t="shared" ca="1" si="276"/>
        <v>50500.488360969393</v>
      </c>
    </row>
    <row r="1199" spans="2:8">
      <c r="B1199" s="152">
        <f t="shared" si="215"/>
        <v>0</v>
      </c>
      <c r="D1199" s="30">
        <f t="shared" ref="D1199:H1199" ca="1" si="277">D269+D455+D827+D1013+D641</f>
        <v>0</v>
      </c>
      <c r="E1199" s="30">
        <f t="shared" ca="1" si="277"/>
        <v>0</v>
      </c>
      <c r="F1199" s="30">
        <f t="shared" ca="1" si="277"/>
        <v>0</v>
      </c>
      <c r="G1199" s="30">
        <f t="shared" ca="1" si="277"/>
        <v>277574.23093750002</v>
      </c>
      <c r="H1199" s="30">
        <f t="shared" ca="1" si="277"/>
        <v>277218.36653886217</v>
      </c>
    </row>
    <row r="1200" spans="2:8">
      <c r="B1200" s="152">
        <f t="shared" si="215"/>
        <v>0</v>
      </c>
      <c r="D1200" s="30">
        <f t="shared" ref="D1200:H1200" ca="1" si="278">D270+D456+D828+D1014+D642</f>
        <v>0</v>
      </c>
      <c r="E1200" s="30">
        <f t="shared" ca="1" si="278"/>
        <v>0</v>
      </c>
      <c r="F1200" s="30">
        <f t="shared" ca="1" si="278"/>
        <v>0</v>
      </c>
      <c r="G1200" s="30">
        <f t="shared" ca="1" si="278"/>
        <v>0</v>
      </c>
      <c r="H1200" s="30">
        <f t="shared" ca="1" si="278"/>
        <v>1856805.566875</v>
      </c>
    </row>
    <row r="1201" spans="2:8">
      <c r="B1201" s="152">
        <f t="shared" si="215"/>
        <v>0</v>
      </c>
      <c r="D1201" s="30">
        <f t="shared" ref="D1201:H1201" ca="1" si="279">D271+D457+D829+D1015+D643</f>
        <v>127544.09149583332</v>
      </c>
      <c r="E1201" s="30">
        <f t="shared" ca="1" si="279"/>
        <v>128516.88541402188</v>
      </c>
      <c r="F1201" s="30">
        <f t="shared" ca="1" si="279"/>
        <v>129458.60397093497</v>
      </c>
      <c r="G1201" s="30">
        <f t="shared" ca="1" si="279"/>
        <v>130367.08540230995</v>
      </c>
      <c r="H1201" s="30">
        <f t="shared" ca="1" si="279"/>
        <v>131240.07927777185</v>
      </c>
    </row>
    <row r="1202" spans="2:8">
      <c r="B1202" s="152">
        <f t="shared" ref="B1202:B1265" si="280">B1016</f>
        <v>0</v>
      </c>
      <c r="D1202" s="30">
        <f t="shared" ref="D1202:H1202" ca="1" si="281">D272+D458+D830+D1016+D644</f>
        <v>0</v>
      </c>
      <c r="E1202" s="30">
        <f t="shared" ca="1" si="281"/>
        <v>492593.78266249999</v>
      </c>
      <c r="F1202" s="30">
        <f t="shared" ca="1" si="281"/>
        <v>496350.85388619703</v>
      </c>
      <c r="G1202" s="30">
        <f t="shared" ca="1" si="281"/>
        <v>499987.90755691484</v>
      </c>
      <c r="H1202" s="30">
        <f t="shared" ca="1" si="281"/>
        <v>503496.59462748969</v>
      </c>
    </row>
    <row r="1203" spans="2:8">
      <c r="B1203" s="152">
        <f t="shared" si="280"/>
        <v>0</v>
      </c>
      <c r="D1203" s="30">
        <f t="shared" ref="D1203:H1203" ca="1" si="282">D273+D459+D831+D1017+D645</f>
        <v>0</v>
      </c>
      <c r="E1203" s="30">
        <f t="shared" ca="1" si="282"/>
        <v>0</v>
      </c>
      <c r="F1203" s="30">
        <f t="shared" ca="1" si="282"/>
        <v>433811.39979166666</v>
      </c>
      <c r="G1203" s="30">
        <f t="shared" ca="1" si="282"/>
        <v>437120.13080702681</v>
      </c>
      <c r="H1203" s="30">
        <f t="shared" ca="1" si="282"/>
        <v>440323.16624828521</v>
      </c>
    </row>
    <row r="1204" spans="2:8">
      <c r="B1204" s="152">
        <f t="shared" si="280"/>
        <v>0</v>
      </c>
      <c r="D1204" s="30">
        <f t="shared" ref="D1204:H1204" ca="1" si="283">D274+D460+D832+D1018+D646</f>
        <v>0</v>
      </c>
      <c r="E1204" s="30">
        <f t="shared" ca="1" si="283"/>
        <v>0</v>
      </c>
      <c r="F1204" s="30">
        <f t="shared" ca="1" si="283"/>
        <v>0</v>
      </c>
      <c r="G1204" s="30">
        <f t="shared" ca="1" si="283"/>
        <v>446015.51729166665</v>
      </c>
      <c r="H1204" s="30">
        <f t="shared" ca="1" si="283"/>
        <v>449417.33055914548</v>
      </c>
    </row>
    <row r="1205" spans="2:8">
      <c r="B1205" s="152">
        <f t="shared" si="280"/>
        <v>0</v>
      </c>
      <c r="D1205" s="30">
        <f t="shared" ref="D1205:H1205" ca="1" si="284">D275+D461+D833+D1019+D647</f>
        <v>0</v>
      </c>
      <c r="E1205" s="30">
        <f t="shared" ca="1" si="284"/>
        <v>0</v>
      </c>
      <c r="F1205" s="30">
        <f t="shared" ca="1" si="284"/>
        <v>0</v>
      </c>
      <c r="G1205" s="30">
        <f t="shared" ca="1" si="284"/>
        <v>0</v>
      </c>
      <c r="H1205" s="30">
        <f t="shared" ca="1" si="284"/>
        <v>459012.76187500003</v>
      </c>
    </row>
    <row r="1206" spans="2:8">
      <c r="B1206" s="152">
        <f t="shared" si="280"/>
        <v>0</v>
      </c>
      <c r="D1206" s="30">
        <f t="shared" ref="D1206:H1206" ca="1" si="285">D276+D462+D834+D1020+D648</f>
        <v>329433.94909062493</v>
      </c>
      <c r="E1206" s="30">
        <f t="shared" ca="1" si="285"/>
        <v>333395.49657968938</v>
      </c>
      <c r="F1206" s="30">
        <f t="shared" ca="1" si="285"/>
        <v>337349.22522502544</v>
      </c>
      <c r="G1206" s="30">
        <f t="shared" ca="1" si="285"/>
        <v>341292.26811726601</v>
      </c>
      <c r="H1206" s="30">
        <f t="shared" ca="1" si="285"/>
        <v>345221.61988835293</v>
      </c>
    </row>
    <row r="1207" spans="2:8">
      <c r="B1207" s="152">
        <f t="shared" si="280"/>
        <v>0</v>
      </c>
      <c r="D1207" s="30">
        <f t="shared" ref="D1207:H1207" ca="1" si="286">D277+D463+D835+D1021+D649</f>
        <v>0</v>
      </c>
      <c r="E1207" s="30">
        <f t="shared" ca="1" si="286"/>
        <v>1603351.787040625</v>
      </c>
      <c r="F1207" s="30">
        <f t="shared" ca="1" si="286"/>
        <v>1622632.5996695946</v>
      </c>
      <c r="G1207" s="30">
        <f t="shared" ca="1" si="286"/>
        <v>1641875.358063112</v>
      </c>
      <c r="H1207" s="30">
        <f t="shared" ca="1" si="286"/>
        <v>1661066.1090015119</v>
      </c>
    </row>
    <row r="1208" spans="2:8">
      <c r="B1208" s="152">
        <f t="shared" si="280"/>
        <v>0</v>
      </c>
      <c r="D1208" s="30">
        <f t="shared" ref="D1208:H1208" ca="1" si="287">D278+D464+D836+D1022+D650</f>
        <v>0</v>
      </c>
      <c r="E1208" s="30">
        <f t="shared" ca="1" si="287"/>
        <v>0</v>
      </c>
      <c r="F1208" s="30">
        <f t="shared" ca="1" si="287"/>
        <v>108452.59895833333</v>
      </c>
      <c r="G1208" s="30">
        <f t="shared" ca="1" si="287"/>
        <v>109279.77979784604</v>
      </c>
      <c r="H1208" s="30">
        <f t="shared" ca="1" si="287"/>
        <v>110080.53680498543</v>
      </c>
    </row>
    <row r="1209" spans="2:8">
      <c r="B1209" s="152">
        <f t="shared" si="280"/>
        <v>0</v>
      </c>
      <c r="D1209" s="30">
        <f t="shared" ref="D1209:H1209" ca="1" si="288">D279+D465+D837+D1023+D651</f>
        <v>0</v>
      </c>
      <c r="E1209" s="30">
        <f t="shared" ca="1" si="288"/>
        <v>0</v>
      </c>
      <c r="F1209" s="30">
        <f t="shared" ca="1" si="288"/>
        <v>0</v>
      </c>
      <c r="G1209" s="30">
        <f t="shared" ca="1" si="288"/>
        <v>1151873.5225</v>
      </c>
      <c r="H1209" s="30">
        <f t="shared" ca="1" si="288"/>
        <v>1160658.9985190679</v>
      </c>
    </row>
    <row r="1210" spans="2:8">
      <c r="B1210" s="152">
        <f t="shared" si="280"/>
        <v>0</v>
      </c>
      <c r="D1210" s="30">
        <f t="shared" ref="D1210:H1210" ca="1" si="289">D280+D466+D838+D1024+D652</f>
        <v>0</v>
      </c>
      <c r="E1210" s="30">
        <f t="shared" ca="1" si="289"/>
        <v>0</v>
      </c>
      <c r="F1210" s="30">
        <f t="shared" ca="1" si="289"/>
        <v>0</v>
      </c>
      <c r="G1210" s="30">
        <f t="shared" ca="1" si="289"/>
        <v>111029.2925</v>
      </c>
      <c r="H1210" s="30">
        <f t="shared" ca="1" si="289"/>
        <v>110886.94725320511</v>
      </c>
    </row>
    <row r="1211" spans="2:8">
      <c r="B1211" s="152">
        <f t="shared" si="280"/>
        <v>0</v>
      </c>
      <c r="D1211" s="30">
        <f t="shared" ref="D1211:H1211" ca="1" si="290">D281+D467+D839+D1025+D653</f>
        <v>0</v>
      </c>
      <c r="E1211" s="30">
        <f t="shared" ca="1" si="290"/>
        <v>0</v>
      </c>
      <c r="F1211" s="30">
        <f t="shared" ca="1" si="290"/>
        <v>0</v>
      </c>
      <c r="G1211" s="30">
        <f t="shared" ca="1" si="290"/>
        <v>0</v>
      </c>
      <c r="H1211" s="30">
        <f t="shared" ca="1" si="290"/>
        <v>1041239.5109375</v>
      </c>
    </row>
    <row r="1212" spans="2:8">
      <c r="B1212" s="152">
        <f t="shared" si="280"/>
        <v>0</v>
      </c>
      <c r="D1212" s="30">
        <f t="shared" ref="D1212:H1212" ca="1" si="291">D282+D468+D840+D1026+D654</f>
        <v>389032.60930625006</v>
      </c>
      <c r="E1212" s="30">
        <f t="shared" ca="1" si="291"/>
        <v>388533.84955072921</v>
      </c>
      <c r="F1212" s="30">
        <f t="shared" ca="1" si="291"/>
        <v>387767.00642661593</v>
      </c>
      <c r="G1212" s="30">
        <f t="shared" ca="1" si="291"/>
        <v>386718.9874903278</v>
      </c>
      <c r="H1212" s="30">
        <f t="shared" ca="1" si="291"/>
        <v>385376.21322820859</v>
      </c>
    </row>
    <row r="1213" spans="2:8">
      <c r="B1213" s="152">
        <f t="shared" si="280"/>
        <v>0</v>
      </c>
      <c r="D1213" s="30">
        <f t="shared" ref="D1213:H1213" ca="1" si="292">D283+D469+D841+D1027+D655</f>
        <v>0</v>
      </c>
      <c r="E1213" s="30">
        <f t="shared" ca="1" si="292"/>
        <v>711345.39507500001</v>
      </c>
      <c r="F1213" s="30">
        <f t="shared" ca="1" si="292"/>
        <v>710433.41379926284</v>
      </c>
      <c r="G1213" s="30">
        <f t="shared" ca="1" si="292"/>
        <v>709031.2425878169</v>
      </c>
      <c r="H1213" s="30">
        <f t="shared" ca="1" si="292"/>
        <v>707114.94193217414</v>
      </c>
    </row>
    <row r="1214" spans="2:8">
      <c r="B1214" s="152">
        <f t="shared" si="280"/>
        <v>0</v>
      </c>
      <c r="D1214" s="30">
        <f t="shared" ref="D1214:H1214" ca="1" si="293">D284+D470+D842+D1028+D656</f>
        <v>0</v>
      </c>
      <c r="E1214" s="30">
        <f t="shared" ca="1" si="293"/>
        <v>0</v>
      </c>
      <c r="F1214" s="30">
        <f t="shared" ca="1" si="293"/>
        <v>0</v>
      </c>
      <c r="G1214" s="30">
        <f t="shared" ca="1" si="293"/>
        <v>416360.8465625</v>
      </c>
      <c r="H1214" s="30">
        <f t="shared" ca="1" si="293"/>
        <v>415827.05060536857</v>
      </c>
    </row>
    <row r="1215" spans="2:8">
      <c r="B1215" s="152">
        <f t="shared" si="280"/>
        <v>0</v>
      </c>
      <c r="D1215" s="30">
        <f t="shared" ref="D1215:H1215" ca="1" si="294">D285+D471+D843+D1029+D657</f>
        <v>0</v>
      </c>
      <c r="E1215" s="30">
        <f t="shared" ca="1" si="294"/>
        <v>0</v>
      </c>
      <c r="F1215" s="30">
        <f t="shared" ca="1" si="294"/>
        <v>0</v>
      </c>
      <c r="G1215" s="30">
        <f t="shared" ca="1" si="294"/>
        <v>0</v>
      </c>
      <c r="H1215" s="30">
        <f t="shared" ca="1" si="294"/>
        <v>585607.9403125</v>
      </c>
    </row>
    <row r="1216" spans="2:8">
      <c r="B1216" s="152">
        <f t="shared" si="280"/>
        <v>0</v>
      </c>
      <c r="D1216" s="30">
        <f t="shared" ref="D1216:H1216" ca="1" si="295">D286+D472+D844+D1030+D658</f>
        <v>0</v>
      </c>
      <c r="E1216" s="30">
        <f t="shared" ca="1" si="295"/>
        <v>0</v>
      </c>
      <c r="F1216" s="30">
        <f t="shared" ca="1" si="295"/>
        <v>0</v>
      </c>
      <c r="G1216" s="30">
        <f t="shared" ca="1" si="295"/>
        <v>139142.36749999999</v>
      </c>
      <c r="H1216" s="30">
        <f t="shared" ca="1" si="295"/>
        <v>139710.29553061226</v>
      </c>
    </row>
    <row r="1217" spans="2:8">
      <c r="B1217" s="152">
        <f t="shared" si="280"/>
        <v>0</v>
      </c>
      <c r="D1217" s="30">
        <f t="shared" ref="D1217:H1217" ca="1" si="296">D287+D473+D845+D1031+D659</f>
        <v>0</v>
      </c>
      <c r="E1217" s="30">
        <f t="shared" ca="1" si="296"/>
        <v>0</v>
      </c>
      <c r="F1217" s="30">
        <f t="shared" ca="1" si="296"/>
        <v>0</v>
      </c>
      <c r="G1217" s="30">
        <f t="shared" ca="1" si="296"/>
        <v>0</v>
      </c>
      <c r="H1217" s="30">
        <f t="shared" ca="1" si="296"/>
        <v>859183.82374999998</v>
      </c>
    </row>
    <row r="1218" spans="2:8">
      <c r="B1218" s="152">
        <f t="shared" si="280"/>
        <v>0</v>
      </c>
      <c r="D1218" s="30">
        <f t="shared" ref="D1218:H1218" ca="1" si="297">D288+D474+D846+D1032+D660</f>
        <v>0</v>
      </c>
      <c r="E1218" s="30">
        <f t="shared" ca="1" si="297"/>
        <v>0</v>
      </c>
      <c r="F1218" s="30">
        <f t="shared" ca="1" si="297"/>
        <v>0</v>
      </c>
      <c r="G1218" s="30">
        <f t="shared" ca="1" si="297"/>
        <v>195546.3934375</v>
      </c>
      <c r="H1218" s="30">
        <f t="shared" ca="1" si="297"/>
        <v>197897.900700356</v>
      </c>
    </row>
    <row r="1219" spans="2:8">
      <c r="B1219" s="152">
        <f t="shared" si="280"/>
        <v>0</v>
      </c>
      <c r="D1219" s="30">
        <f t="shared" ref="D1219:H1219" ca="1" si="298">D289+D475+D847+D1033+D661</f>
        <v>0</v>
      </c>
      <c r="E1219" s="30">
        <f t="shared" ca="1" si="298"/>
        <v>0</v>
      </c>
      <c r="F1219" s="30">
        <f t="shared" ca="1" si="298"/>
        <v>0</v>
      </c>
      <c r="G1219" s="30">
        <f t="shared" ca="1" si="298"/>
        <v>0</v>
      </c>
      <c r="H1219" s="30">
        <f t="shared" ca="1" si="298"/>
        <v>689983.11812500004</v>
      </c>
    </row>
    <row r="1220" spans="2:8">
      <c r="B1220" s="152">
        <f t="shared" si="280"/>
        <v>0</v>
      </c>
      <c r="D1220" s="30">
        <f t="shared" ref="D1220:H1220" ca="1" si="299">D290+D476+D848+D1034+D662</f>
        <v>0</v>
      </c>
      <c r="E1220" s="30">
        <f t="shared" ca="1" si="299"/>
        <v>0</v>
      </c>
      <c r="F1220" s="30">
        <f t="shared" ca="1" si="299"/>
        <v>269978.60531249997</v>
      </c>
      <c r="G1220" s="30">
        <f t="shared" ca="1" si="299"/>
        <v>269632.47889543267</v>
      </c>
      <c r="H1220" s="30">
        <f t="shared" ca="1" si="299"/>
        <v>269100.30952919164</v>
      </c>
    </row>
    <row r="1221" spans="2:8">
      <c r="B1221" s="152">
        <f t="shared" si="280"/>
        <v>0</v>
      </c>
      <c r="D1221" s="30">
        <f t="shared" ref="D1221:H1221" ca="1" si="300">D291+D477+D849+D1035+D663</f>
        <v>0</v>
      </c>
      <c r="E1221" s="30">
        <f t="shared" ca="1" si="300"/>
        <v>0</v>
      </c>
      <c r="F1221" s="30">
        <f t="shared" ca="1" si="300"/>
        <v>0</v>
      </c>
      <c r="G1221" s="30">
        <f t="shared" ca="1" si="300"/>
        <v>277574.23093750002</v>
      </c>
      <c r="H1221" s="30">
        <f t="shared" ca="1" si="300"/>
        <v>277218.36653886217</v>
      </c>
    </row>
    <row r="1222" spans="2:8">
      <c r="B1222" s="152">
        <f t="shared" si="280"/>
        <v>0</v>
      </c>
      <c r="D1222" s="30">
        <f t="shared" ref="D1222:H1222" ca="1" si="301">D292+D478+D850+D1036+D664</f>
        <v>0</v>
      </c>
      <c r="E1222" s="30">
        <f t="shared" ca="1" si="301"/>
        <v>0</v>
      </c>
      <c r="F1222" s="30">
        <f t="shared" ca="1" si="301"/>
        <v>0</v>
      </c>
      <c r="G1222" s="30">
        <f t="shared" ca="1" si="301"/>
        <v>0</v>
      </c>
      <c r="H1222" s="30">
        <f t="shared" ca="1" si="301"/>
        <v>328512.30781249999</v>
      </c>
    </row>
    <row r="1223" spans="2:8">
      <c r="B1223" s="152">
        <f t="shared" si="280"/>
        <v>0</v>
      </c>
      <c r="D1223" s="30">
        <f t="shared" ref="D1223:H1223" ca="1" si="302">D293+D479+D851+D1037+D665</f>
        <v>0</v>
      </c>
      <c r="E1223" s="30">
        <f t="shared" ca="1" si="302"/>
        <v>0</v>
      </c>
      <c r="F1223" s="30">
        <f t="shared" ca="1" si="302"/>
        <v>0</v>
      </c>
      <c r="G1223" s="30">
        <f t="shared" ca="1" si="302"/>
        <v>0</v>
      </c>
      <c r="H1223" s="30">
        <f t="shared" ca="1" si="302"/>
        <v>714155.75656250003</v>
      </c>
    </row>
    <row r="1224" spans="2:8">
      <c r="B1224" s="152">
        <f t="shared" si="280"/>
        <v>0</v>
      </c>
      <c r="D1224" s="30">
        <f t="shared" ref="D1224:H1224" ca="1" si="303">D294+D480+D852+D1038+D666</f>
        <v>0</v>
      </c>
      <c r="E1224" s="30">
        <f t="shared" ca="1" si="303"/>
        <v>0</v>
      </c>
      <c r="F1224" s="30">
        <f t="shared" ca="1" si="303"/>
        <v>0</v>
      </c>
      <c r="G1224" s="30">
        <f t="shared" ca="1" si="303"/>
        <v>0</v>
      </c>
      <c r="H1224" s="30">
        <f t="shared" ca="1" si="303"/>
        <v>717206.75020833337</v>
      </c>
    </row>
    <row r="1225" spans="2:8">
      <c r="B1225" s="152">
        <f t="shared" si="280"/>
        <v>0</v>
      </c>
      <c r="D1225" s="30">
        <f t="shared" ref="D1225:H1225" ca="1" si="304">D295+D481+D853+D1039+D667</f>
        <v>0</v>
      </c>
      <c r="E1225" s="30">
        <f t="shared" ca="1" si="304"/>
        <v>0</v>
      </c>
      <c r="F1225" s="30">
        <f t="shared" ca="1" si="304"/>
        <v>0</v>
      </c>
      <c r="G1225" s="30">
        <f t="shared" ca="1" si="304"/>
        <v>171283.53478090526</v>
      </c>
      <c r="H1225" s="30">
        <f t="shared" ca="1" si="304"/>
        <v>171063.94050554512</v>
      </c>
    </row>
    <row r="1226" spans="2:8">
      <c r="B1226" s="152">
        <f t="shared" si="280"/>
        <v>0</v>
      </c>
      <c r="D1226" s="30">
        <f t="shared" ref="D1226:H1226" ca="1" si="305">D296+D482+D854+D1040+D668</f>
        <v>0</v>
      </c>
      <c r="E1226" s="30">
        <f t="shared" ca="1" si="305"/>
        <v>0</v>
      </c>
      <c r="F1226" s="30">
        <f t="shared" ca="1" si="305"/>
        <v>0</v>
      </c>
      <c r="G1226" s="30">
        <f t="shared" ca="1" si="305"/>
        <v>0</v>
      </c>
      <c r="H1226" s="30">
        <f t="shared" ca="1" si="305"/>
        <v>539957.38842848293</v>
      </c>
    </row>
    <row r="1227" spans="2:8">
      <c r="B1227" s="152">
        <f t="shared" si="280"/>
        <v>0</v>
      </c>
      <c r="D1227" s="30">
        <f t="shared" ref="D1227:H1227" ca="1" si="306">D297+D483+D855+D1041+D669</f>
        <v>0</v>
      </c>
      <c r="E1227" s="30">
        <f t="shared" ca="1" si="306"/>
        <v>0</v>
      </c>
      <c r="F1227" s="30">
        <f t="shared" ca="1" si="306"/>
        <v>0</v>
      </c>
      <c r="G1227" s="30">
        <f t="shared" ca="1" si="306"/>
        <v>651239.40916666668</v>
      </c>
      <c r="H1227" s="30">
        <f t="shared" ca="1" si="306"/>
        <v>644502.4497614943</v>
      </c>
    </row>
    <row r="1228" spans="2:8">
      <c r="B1228" s="152">
        <f t="shared" si="280"/>
        <v>0</v>
      </c>
      <c r="D1228" s="30">
        <f t="shared" ref="D1228:H1228" ca="1" si="307">D298+D484+D856+D1042+D670</f>
        <v>645815.61447083345</v>
      </c>
      <c r="E1228" s="30">
        <f t="shared" ca="1" si="307"/>
        <v>650741.3267845941</v>
      </c>
      <c r="F1228" s="30">
        <f t="shared" ca="1" si="307"/>
        <v>655509.68995499844</v>
      </c>
      <c r="G1228" s="30">
        <f t="shared" ca="1" si="307"/>
        <v>660109.75795468269</v>
      </c>
      <c r="H1228" s="30">
        <f t="shared" ca="1" si="307"/>
        <v>664530.13579812925</v>
      </c>
    </row>
    <row r="1229" spans="2:8">
      <c r="B1229" s="152">
        <f t="shared" si="280"/>
        <v>0</v>
      </c>
      <c r="D1229" s="30">
        <f t="shared" ref="D1229:H1229" ca="1" si="308">D299+D485+D857+D1043+D671</f>
        <v>0</v>
      </c>
      <c r="E1229" s="30">
        <f t="shared" ca="1" si="308"/>
        <v>0</v>
      </c>
      <c r="F1229" s="30">
        <f t="shared" ca="1" si="308"/>
        <v>614202.00187499996</v>
      </c>
      <c r="G1229" s="30">
        <f t="shared" ca="1" si="308"/>
        <v>613414.56341105769</v>
      </c>
      <c r="H1229" s="30">
        <f t="shared" ca="1" si="308"/>
        <v>612203.87677274644</v>
      </c>
    </row>
    <row r="1230" spans="2:8">
      <c r="B1230" s="152">
        <f t="shared" si="280"/>
        <v>0</v>
      </c>
      <c r="D1230" s="30">
        <f t="shared" ref="D1230:H1230" ca="1" si="309">D300+D486+D858+D1044+D672</f>
        <v>0</v>
      </c>
      <c r="E1230" s="30">
        <f t="shared" ca="1" si="309"/>
        <v>0</v>
      </c>
      <c r="F1230" s="30">
        <f t="shared" ca="1" si="309"/>
        <v>0</v>
      </c>
      <c r="G1230" s="30">
        <f t="shared" ca="1" si="309"/>
        <v>111029.2925</v>
      </c>
      <c r="H1230" s="30">
        <f t="shared" ca="1" si="309"/>
        <v>110886.94725320511</v>
      </c>
    </row>
    <row r="1231" spans="2:8">
      <c r="B1231" s="152">
        <f t="shared" si="280"/>
        <v>0</v>
      </c>
      <c r="D1231" s="30">
        <f t="shared" ref="D1231:H1231" ca="1" si="310">D301+D487+D859+D1045+D673</f>
        <v>0</v>
      </c>
      <c r="E1231" s="30">
        <f t="shared" ca="1" si="310"/>
        <v>0</v>
      </c>
      <c r="F1231" s="30">
        <f t="shared" ca="1" si="310"/>
        <v>0</v>
      </c>
      <c r="G1231" s="30">
        <f t="shared" ca="1" si="310"/>
        <v>0</v>
      </c>
      <c r="H1231" s="30">
        <f t="shared" ca="1" si="310"/>
        <v>457060.12406250002</v>
      </c>
    </row>
    <row r="1232" spans="2:8">
      <c r="B1232" s="152">
        <f t="shared" si="280"/>
        <v>0</v>
      </c>
      <c r="D1232" s="30">
        <f t="shared" ref="D1232:H1232" ca="1" si="311">D302+D488+D860+D1046+D674</f>
        <v>35366.304575000009</v>
      </c>
      <c r="E1232" s="30">
        <f t="shared" ca="1" si="311"/>
        <v>35320.963158878214</v>
      </c>
      <c r="F1232" s="30">
        <f t="shared" ca="1" si="311"/>
        <v>35251.250731590953</v>
      </c>
      <c r="G1232" s="30">
        <f t="shared" ca="1" si="311"/>
        <v>35155.977080965029</v>
      </c>
      <c r="H1232" s="30">
        <f t="shared" ca="1" si="311"/>
        <v>35033.907716100563</v>
      </c>
    </row>
    <row r="1233" spans="2:8">
      <c r="B1233" s="152">
        <f t="shared" si="280"/>
        <v>0</v>
      </c>
      <c r="D1233" s="30">
        <f t="shared" ref="D1233:H1233" ca="1" si="312">D303+D489+D861+D1047+D675</f>
        <v>0</v>
      </c>
      <c r="E1233" s="30">
        <f t="shared" ca="1" si="312"/>
        <v>481227.06953124999</v>
      </c>
      <c r="F1233" s="30">
        <f t="shared" ca="1" si="312"/>
        <v>480610.11174979969</v>
      </c>
      <c r="G1233" s="30">
        <f t="shared" ca="1" si="312"/>
        <v>479661.53916081984</v>
      </c>
      <c r="H1233" s="30">
        <f t="shared" ca="1" si="312"/>
        <v>478365.15662254731</v>
      </c>
    </row>
    <row r="1234" spans="2:8">
      <c r="B1234" s="152">
        <f t="shared" si="280"/>
        <v>0</v>
      </c>
      <c r="D1234" s="30">
        <f t="shared" ref="D1234:H1234" ca="1" si="313">D304+D490+D862+D1048+D676</f>
        <v>0</v>
      </c>
      <c r="E1234" s="30">
        <f t="shared" ca="1" si="313"/>
        <v>0</v>
      </c>
      <c r="F1234" s="30">
        <f t="shared" ca="1" si="313"/>
        <v>0</v>
      </c>
      <c r="G1234" s="30">
        <f t="shared" ca="1" si="313"/>
        <v>0</v>
      </c>
      <c r="H1234" s="30">
        <f t="shared" ca="1" si="313"/>
        <v>472926.4403125</v>
      </c>
    </row>
    <row r="1235" spans="2:8">
      <c r="B1235" s="152">
        <f t="shared" si="280"/>
        <v>0</v>
      </c>
      <c r="D1235" s="30">
        <f t="shared" ref="D1235:H1235" ca="1" si="314">D305+D491+D863+D1049+D677</f>
        <v>20257.697490625003</v>
      </c>
      <c r="E1235" s="30">
        <f t="shared" ca="1" si="314"/>
        <v>20231.726083585741</v>
      </c>
      <c r="F1235" s="30">
        <f t="shared" ca="1" si="314"/>
        <v>20191.795045262872</v>
      </c>
      <c r="G1235" s="30">
        <f t="shared" ca="1" si="314"/>
        <v>20137.222626221621</v>
      </c>
      <c r="H1235" s="30">
        <f t="shared" ca="1" si="314"/>
        <v>20067.301714325018</v>
      </c>
    </row>
    <row r="1236" spans="2:8">
      <c r="B1236" s="152">
        <f t="shared" si="280"/>
        <v>0</v>
      </c>
      <c r="D1236" s="30">
        <f t="shared" ref="D1236:H1236" ca="1" si="315">D306+D492+D864+D1050+D678</f>
        <v>0</v>
      </c>
      <c r="E1236" s="30">
        <f t="shared" ca="1" si="315"/>
        <v>372083.41758437495</v>
      </c>
      <c r="F1236" s="30">
        <f t="shared" ca="1" si="315"/>
        <v>371606.38756183087</v>
      </c>
      <c r="G1236" s="30">
        <f t="shared" ca="1" si="315"/>
        <v>370872.95390216931</v>
      </c>
      <c r="H1236" s="30">
        <f t="shared" ca="1" si="315"/>
        <v>369870.59456729854</v>
      </c>
    </row>
    <row r="1237" spans="2:8">
      <c r="B1237" s="152">
        <f t="shared" si="280"/>
        <v>0</v>
      </c>
      <c r="D1237" s="30">
        <f t="shared" ref="D1237:H1237" ca="1" si="316">D307+D493+D865+D1051+D679</f>
        <v>0</v>
      </c>
      <c r="E1237" s="30">
        <f t="shared" ca="1" si="316"/>
        <v>0</v>
      </c>
      <c r="F1237" s="30">
        <f t="shared" ca="1" si="316"/>
        <v>46737.39</v>
      </c>
      <c r="G1237" s="30">
        <f t="shared" ca="1" si="316"/>
        <v>46677.470269230769</v>
      </c>
      <c r="H1237" s="30">
        <f t="shared" ca="1" si="316"/>
        <v>46585.34368317308</v>
      </c>
    </row>
    <row r="1238" spans="2:8">
      <c r="B1238" s="152">
        <f t="shared" si="280"/>
        <v>0</v>
      </c>
      <c r="D1238" s="30">
        <f t="shared" ref="D1238:H1238" ca="1" si="317">D308+D494+D866+D1052+D680</f>
        <v>323663.25361562491</v>
      </c>
      <c r="E1238" s="30">
        <f t="shared" ca="1" si="317"/>
        <v>323248.30072637409</v>
      </c>
      <c r="F1238" s="30">
        <f t="shared" ca="1" si="317"/>
        <v>322610.310659151</v>
      </c>
      <c r="G1238" s="30">
        <f t="shared" ca="1" si="317"/>
        <v>321738.39090061275</v>
      </c>
      <c r="H1238" s="30">
        <f t="shared" ca="1" si="317"/>
        <v>320621.24370998563</v>
      </c>
    </row>
    <row r="1239" spans="2:8">
      <c r="B1239" s="152">
        <f t="shared" si="280"/>
        <v>0</v>
      </c>
      <c r="D1239" s="30">
        <f t="shared" ref="D1239:H1239" ca="1" si="318">D309+D495+D867+D1053+D681</f>
        <v>0</v>
      </c>
      <c r="E1239" s="30">
        <f t="shared" ca="1" si="318"/>
        <v>0</v>
      </c>
      <c r="F1239" s="30">
        <f t="shared" ca="1" si="318"/>
        <v>0</v>
      </c>
      <c r="G1239" s="30">
        <f t="shared" ca="1" si="318"/>
        <v>0</v>
      </c>
      <c r="H1239" s="30">
        <f t="shared" ca="1" si="318"/>
        <v>307087.0053125</v>
      </c>
    </row>
    <row r="1240" spans="2:8">
      <c r="B1240" s="152">
        <f t="shared" si="280"/>
        <v>0</v>
      </c>
      <c r="D1240" s="30">
        <f t="shared" ref="D1240:H1240" ca="1" si="319">D310+D496+D868+D1054+D682</f>
        <v>0</v>
      </c>
      <c r="E1240" s="30">
        <f t="shared" ca="1" si="319"/>
        <v>0</v>
      </c>
      <c r="F1240" s="30">
        <f t="shared" ca="1" si="319"/>
        <v>0</v>
      </c>
      <c r="G1240" s="30">
        <f t="shared" ca="1" si="319"/>
        <v>0</v>
      </c>
      <c r="H1240" s="30">
        <f t="shared" ca="1" si="319"/>
        <v>307087.0053125</v>
      </c>
    </row>
    <row r="1241" spans="2:8">
      <c r="B1241" s="152">
        <f t="shared" si="280"/>
        <v>0</v>
      </c>
      <c r="D1241" s="30">
        <f t="shared" ref="D1241:H1241" ca="1" si="320">D311+D497+D869+D1055+D683</f>
        <v>6637.3017362500013</v>
      </c>
      <c r="E1241" s="30">
        <f t="shared" ca="1" si="320"/>
        <v>6734.5147414779058</v>
      </c>
      <c r="F1241" s="30">
        <f t="shared" ca="1" si="320"/>
        <v>6832.4400833820491</v>
      </c>
      <c r="G1241" s="30">
        <f t="shared" ca="1" si="320"/>
        <v>6931.052620667976</v>
      </c>
      <c r="H1241" s="30">
        <f t="shared" ca="1" si="320"/>
        <v>7030.3255097660849</v>
      </c>
    </row>
    <row r="1242" spans="2:8">
      <c r="B1242" s="152">
        <f t="shared" si="280"/>
        <v>0</v>
      </c>
      <c r="D1242" s="30">
        <f t="shared" ref="D1242:H1242" ca="1" si="321">D312+D498+D870+D1056+D684</f>
        <v>0</v>
      </c>
      <c r="E1242" s="30">
        <f t="shared" ca="1" si="321"/>
        <v>151460.84599999999</v>
      </c>
      <c r="F1242" s="30">
        <f t="shared" ca="1" si="321"/>
        <v>153679.21192626259</v>
      </c>
      <c r="G1242" s="30">
        <f t="shared" ca="1" si="321"/>
        <v>155913.83312008835</v>
      </c>
      <c r="H1242" s="30">
        <f t="shared" ca="1" si="321"/>
        <v>158164.13586615148</v>
      </c>
    </row>
    <row r="1243" spans="2:8">
      <c r="B1243" s="152">
        <f t="shared" si="280"/>
        <v>0</v>
      </c>
      <c r="D1243" s="30">
        <f t="shared" ref="D1243:H1243" ca="1" si="322">D313+D499+D871+D1057+D685</f>
        <v>0</v>
      </c>
      <c r="E1243" s="30">
        <f t="shared" ca="1" si="322"/>
        <v>0</v>
      </c>
      <c r="F1243" s="30">
        <f t="shared" ca="1" si="322"/>
        <v>0</v>
      </c>
      <c r="G1243" s="30">
        <f t="shared" ca="1" si="322"/>
        <v>0</v>
      </c>
      <c r="H1243" s="30">
        <f t="shared" ca="1" si="322"/>
        <v>143197.47099999999</v>
      </c>
    </row>
    <row r="1244" spans="2:8">
      <c r="B1244" s="152">
        <f t="shared" si="280"/>
        <v>0</v>
      </c>
      <c r="D1244" s="30">
        <f t="shared" ref="D1244:H1244" ca="1" si="323">D314+D500+D872+D1058+D686</f>
        <v>136881.24061250003</v>
      </c>
      <c r="E1244" s="30">
        <f t="shared" ca="1" si="323"/>
        <v>124714.01922472224</v>
      </c>
      <c r="F1244" s="30">
        <f t="shared" ca="1" si="323"/>
        <v>111852.88599217276</v>
      </c>
      <c r="G1244" s="30">
        <f t="shared" ca="1" si="323"/>
        <v>98270.749835980343</v>
      </c>
      <c r="H1244" s="30">
        <f t="shared" ca="1" si="323"/>
        <v>83939.598818233208</v>
      </c>
    </row>
    <row r="1245" spans="2:8">
      <c r="B1245" s="152">
        <f t="shared" si="280"/>
        <v>0</v>
      </c>
      <c r="D1245" s="30">
        <f t="shared" ref="D1245:H1245" ca="1" si="324">D315+D501+D873+D1059+D687</f>
        <v>22575.962500000001</v>
      </c>
      <c r="E1245" s="30">
        <f t="shared" ca="1" si="324"/>
        <v>17355.271171875</v>
      </c>
      <c r="F1245" s="30">
        <f t="shared" ca="1" si="324"/>
        <v>11859.43530078125</v>
      </c>
      <c r="G1245" s="30">
        <f t="shared" ca="1" si="324"/>
        <v>6077.9605916503906</v>
      </c>
      <c r="H1245" s="30">
        <f t="shared" ca="1" si="324"/>
        <v>0</v>
      </c>
    </row>
    <row r="1246" spans="2:8">
      <c r="B1246" s="152">
        <f t="shared" si="280"/>
        <v>0</v>
      </c>
      <c r="D1246" s="30">
        <f t="shared" ref="D1246:H1246" ca="1" si="325">D316+D502+D874+D1060+D688</f>
        <v>0</v>
      </c>
      <c r="E1246" s="30">
        <f t="shared" ca="1" si="325"/>
        <v>210341.66666666666</v>
      </c>
      <c r="F1246" s="30">
        <f t="shared" ca="1" si="325"/>
        <v>200200.19345238095</v>
      </c>
      <c r="G1246" s="30">
        <f t="shared" ca="1" si="325"/>
        <v>189420.18303571429</v>
      </c>
      <c r="H1246" s="30">
        <f t="shared" ca="1" si="325"/>
        <v>177976.04697730654</v>
      </c>
    </row>
    <row r="1247" spans="2:8">
      <c r="B1247" s="152">
        <f t="shared" si="280"/>
        <v>0</v>
      </c>
      <c r="D1247" s="30">
        <f t="shared" ref="D1247:H1247" ca="1" si="326">D317+D503+D875+D1061+D689</f>
        <v>523253.02119999996</v>
      </c>
      <c r="E1247" s="30">
        <f t="shared" ca="1" si="326"/>
        <v>402250.76004750002</v>
      </c>
      <c r="F1247" s="30">
        <f t="shared" ca="1" si="326"/>
        <v>274871.35269912507</v>
      </c>
      <c r="G1247" s="30">
        <f t="shared" ca="1" si="326"/>
        <v>140871.56825830159</v>
      </c>
      <c r="H1247" s="30">
        <f t="shared" ca="1" si="326"/>
        <v>0</v>
      </c>
    </row>
    <row r="1248" spans="2:8">
      <c r="B1248" s="152">
        <f t="shared" si="280"/>
        <v>0</v>
      </c>
      <c r="D1248" s="30">
        <f t="shared" ref="D1248:H1248" ca="1" si="327">D318+D504+D876+D1062+D690</f>
        <v>0</v>
      </c>
      <c r="E1248" s="30">
        <f t="shared" ca="1" si="327"/>
        <v>381745.00000000006</v>
      </c>
      <c r="F1248" s="30">
        <f t="shared" ca="1" si="327"/>
        <v>293466.46875000006</v>
      </c>
      <c r="G1248" s="30">
        <f t="shared" ca="1" si="327"/>
        <v>200535.42031250003</v>
      </c>
      <c r="H1248" s="30">
        <f t="shared" ca="1" si="327"/>
        <v>102774.40291015626</v>
      </c>
    </row>
    <row r="1249" spans="2:8">
      <c r="B1249" s="152">
        <f t="shared" si="280"/>
        <v>0</v>
      </c>
      <c r="D1249" s="30">
        <f t="shared" ref="D1249:H1249" ca="1" si="328">D319+D505+D877+D1063+D691</f>
        <v>0</v>
      </c>
      <c r="E1249" s="30">
        <f t="shared" ca="1" si="328"/>
        <v>0</v>
      </c>
      <c r="F1249" s="30">
        <f t="shared" ca="1" si="328"/>
        <v>409500</v>
      </c>
      <c r="G1249" s="30">
        <f t="shared" ca="1" si="328"/>
        <v>314803.125</v>
      </c>
      <c r="H1249" s="30">
        <f t="shared" ca="1" si="328"/>
        <v>215115.46875</v>
      </c>
    </row>
    <row r="1250" spans="2:8">
      <c r="B1250" s="152">
        <f t="shared" si="280"/>
        <v>0</v>
      </c>
      <c r="D1250" s="30">
        <f t="shared" ref="D1250:H1250" ca="1" si="329">D320+D506+D878+D1064+D692</f>
        <v>0</v>
      </c>
      <c r="E1250" s="30">
        <f t="shared" ca="1" si="329"/>
        <v>0</v>
      </c>
      <c r="F1250" s="30">
        <f t="shared" ca="1" si="329"/>
        <v>0</v>
      </c>
      <c r="G1250" s="30">
        <f t="shared" ca="1" si="329"/>
        <v>409500</v>
      </c>
      <c r="H1250" s="30">
        <f t="shared" ca="1" si="329"/>
        <v>314803.125</v>
      </c>
    </row>
    <row r="1251" spans="2:8">
      <c r="B1251" s="152">
        <f t="shared" si="280"/>
        <v>0</v>
      </c>
      <c r="D1251" s="30">
        <f t="shared" ref="D1251:H1251" ca="1" si="330">D321+D507+D879+D1065+D693</f>
        <v>0</v>
      </c>
      <c r="E1251" s="30">
        <f t="shared" ca="1" si="330"/>
        <v>0</v>
      </c>
      <c r="F1251" s="30">
        <f t="shared" ca="1" si="330"/>
        <v>0</v>
      </c>
      <c r="G1251" s="30">
        <f t="shared" ca="1" si="330"/>
        <v>0</v>
      </c>
      <c r="H1251" s="30">
        <f t="shared" ca="1" si="330"/>
        <v>409500</v>
      </c>
    </row>
    <row r="1252" spans="2:8">
      <c r="B1252" s="152">
        <f t="shared" si="280"/>
        <v>0</v>
      </c>
      <c r="D1252" s="30">
        <f t="shared" ref="D1252:H1252" ca="1" si="331">D322+D508+D880+D1066+D694</f>
        <v>450461.55700000003</v>
      </c>
      <c r="E1252" s="30">
        <f t="shared" ca="1" si="331"/>
        <v>346292.32194375002</v>
      </c>
      <c r="F1252" s="30">
        <f t="shared" ca="1" si="331"/>
        <v>236633.0866615625</v>
      </c>
      <c r="G1252" s="30">
        <f t="shared" ca="1" si="331"/>
        <v>121274.45691405078</v>
      </c>
      <c r="H1252" s="30">
        <f t="shared" ca="1" si="331"/>
        <v>0</v>
      </c>
    </row>
    <row r="1253" spans="2:8">
      <c r="B1253" s="152">
        <f t="shared" si="280"/>
        <v>0</v>
      </c>
      <c r="D1253" s="30">
        <f t="shared" ref="D1253:H1253" ca="1" si="332">D323+D509+D881+D1067+D695</f>
        <v>759325.77383125015</v>
      </c>
      <c r="E1253" s="30">
        <f t="shared" ca="1" si="332"/>
        <v>737345.29090455617</v>
      </c>
      <c r="F1253" s="30">
        <f t="shared" ca="1" si="332"/>
        <v>713791.20522288291</v>
      </c>
      <c r="G1253" s="30">
        <f t="shared" ca="1" si="332"/>
        <v>688598.57445031055</v>
      </c>
      <c r="H1253" s="30">
        <f t="shared" ca="1" si="332"/>
        <v>661700.19263584528</v>
      </c>
    </row>
    <row r="1254" spans="2:8">
      <c r="B1254" s="152">
        <f t="shared" si="280"/>
        <v>0</v>
      </c>
      <c r="D1254" s="30">
        <f t="shared" ref="D1254:H1254" ca="1" si="333">D324+D510+D882+D1068+D696</f>
        <v>0</v>
      </c>
      <c r="E1254" s="30">
        <f t="shared" ca="1" si="333"/>
        <v>482581.53946249996</v>
      </c>
      <c r="F1254" s="30">
        <f t="shared" ca="1" si="333"/>
        <v>468612.07384648023</v>
      </c>
      <c r="G1254" s="30">
        <f t="shared" ca="1" si="333"/>
        <v>453642.52148749545</v>
      </c>
      <c r="H1254" s="30">
        <f t="shared" ca="1" si="333"/>
        <v>437631.60896440735</v>
      </c>
    </row>
    <row r="1255" spans="2:8">
      <c r="B1255" s="152">
        <f t="shared" si="280"/>
        <v>0</v>
      </c>
      <c r="D1255" s="30">
        <f t="shared" ref="D1255:H1255" ca="1" si="334">D325+D511+D883+D1069+D697</f>
        <v>-3134.5571291666674</v>
      </c>
      <c r="E1255" s="30">
        <f t="shared" ca="1" si="334"/>
        <v>-3102.1306761063224</v>
      </c>
      <c r="F1255" s="30">
        <f t="shared" ca="1" si="334"/>
        <v>-3066.1238021872309</v>
      </c>
      <c r="G1255" s="30">
        <f t="shared" ca="1" si="334"/>
        <v>-3026.3777528996188</v>
      </c>
      <c r="H1255" s="30">
        <f t="shared" ca="1" si="334"/>
        <v>-2982.728073771259</v>
      </c>
    </row>
    <row r="1256" spans="2:8">
      <c r="B1256" s="152">
        <f t="shared" si="280"/>
        <v>0</v>
      </c>
      <c r="D1256" s="30">
        <f t="shared" ref="D1256:H1256" ca="1" si="335">D326+D512+D884+D1070+D698</f>
        <v>256738.74846250002</v>
      </c>
      <c r="E1256" s="30">
        <f t="shared" ca="1" si="335"/>
        <v>249306.83732279605</v>
      </c>
      <c r="F1256" s="30">
        <f t="shared" ca="1" si="335"/>
        <v>241342.86890831785</v>
      </c>
      <c r="G1256" s="30">
        <f t="shared" ca="1" si="335"/>
        <v>232824.88529978899</v>
      </c>
      <c r="H1256" s="30">
        <f t="shared" ca="1" si="335"/>
        <v>223730.16321776598</v>
      </c>
    </row>
    <row r="1257" spans="2:8">
      <c r="B1257" s="152">
        <f t="shared" si="280"/>
        <v>0</v>
      </c>
      <c r="D1257" s="30">
        <f t="shared" ref="D1257:H1257" ca="1" si="336">D327+D513+D885+D1071+D699</f>
        <v>9473.7685218749994</v>
      </c>
      <c r="E1257" s="30">
        <f t="shared" ca="1" si="336"/>
        <v>9461.6226647956737</v>
      </c>
      <c r="F1257" s="30">
        <f t="shared" ca="1" si="336"/>
        <v>9442.9484095362077</v>
      </c>
      <c r="G1257" s="30">
        <f t="shared" ca="1" si="336"/>
        <v>9417.4269273482714</v>
      </c>
      <c r="H1257" s="30">
        <f t="shared" ca="1" si="336"/>
        <v>9384.7275282949795</v>
      </c>
    </row>
    <row r="1258" spans="2:8">
      <c r="B1258" s="152">
        <f t="shared" si="280"/>
        <v>0</v>
      </c>
      <c r="D1258" s="30">
        <f t="shared" ref="D1258:H1258" ca="1" si="337">D328+D514+D886+D1072+D700</f>
        <v>50603.240566666675</v>
      </c>
      <c r="E1258" s="30">
        <f t="shared" ca="1" si="337"/>
        <v>50079.758767701154</v>
      </c>
      <c r="F1258" s="30">
        <f t="shared" ca="1" si="337"/>
        <v>49498.4758534332</v>
      </c>
      <c r="G1258" s="30">
        <f t="shared" ca="1" si="337"/>
        <v>48856.828944222027</v>
      </c>
      <c r="H1258" s="30">
        <f t="shared" ca="1" si="337"/>
        <v>48152.163142141901</v>
      </c>
    </row>
    <row r="1259" spans="2:8">
      <c r="B1259" s="152">
        <f t="shared" si="280"/>
        <v>0</v>
      </c>
      <c r="D1259" s="30">
        <f t="shared" ref="D1259:H1259" ca="1" si="338">D329+D515+D887+D1073+D701</f>
        <v>-50506.266761250001</v>
      </c>
      <c r="E1259" s="30">
        <f t="shared" ca="1" si="338"/>
        <v>-51246.005011793568</v>
      </c>
      <c r="F1259" s="30">
        <f t="shared" ca="1" si="338"/>
        <v>-51991.163758138522</v>
      </c>
      <c r="G1259" s="30">
        <f t="shared" ca="1" si="338"/>
        <v>-52741.551688668354</v>
      </c>
      <c r="H1259" s="30">
        <f t="shared" ca="1" si="338"/>
        <v>-53496.96453837584</v>
      </c>
    </row>
    <row r="1260" spans="2:8">
      <c r="B1260" s="152">
        <f t="shared" si="280"/>
        <v>0</v>
      </c>
      <c r="D1260" s="30">
        <f t="shared" ref="D1260:H1260" ca="1" si="339">D330+D516+D888+D1074+D702</f>
        <v>0</v>
      </c>
      <c r="E1260" s="30">
        <f t="shared" ca="1" si="339"/>
        <v>412498.90762499999</v>
      </c>
      <c r="F1260" s="30">
        <f t="shared" ca="1" si="339"/>
        <v>418540.55829223484</v>
      </c>
      <c r="G1260" s="30">
        <f t="shared" ca="1" si="339"/>
        <v>424626.47967556579</v>
      </c>
      <c r="H1260" s="30">
        <f t="shared" ca="1" si="339"/>
        <v>430755.10927913064</v>
      </c>
    </row>
    <row r="1261" spans="2:8">
      <c r="B1261" s="152">
        <f t="shared" si="280"/>
        <v>0</v>
      </c>
      <c r="D1261" s="30">
        <f t="shared" ref="D1261:H1261" ca="1" si="340">D331+D517+D889+D1075+D703</f>
        <v>3193.6031468749998</v>
      </c>
      <c r="E1261" s="30">
        <f t="shared" ca="1" si="340"/>
        <v>3232.0072353500786</v>
      </c>
      <c r="F1261" s="30">
        <f t="shared" ca="1" si="340"/>
        <v>3270.3355262821151</v>
      </c>
      <c r="G1261" s="30">
        <f t="shared" ca="1" si="340"/>
        <v>3308.5602272386591</v>
      </c>
      <c r="H1261" s="30">
        <f t="shared" ca="1" si="340"/>
        <v>3346.6522035391044</v>
      </c>
    </row>
    <row r="1262" spans="2:8">
      <c r="B1262" s="152">
        <f t="shared" si="280"/>
        <v>0</v>
      </c>
      <c r="D1262" s="30">
        <f t="shared" ref="D1262:H1262" ca="1" si="341">D332+D518+D890+D1076+D704</f>
        <v>153989.6354</v>
      </c>
      <c r="E1262" s="30">
        <f t="shared" ca="1" si="341"/>
        <v>140301.66780888889</v>
      </c>
      <c r="F1262" s="30">
        <f t="shared" ca="1" si="341"/>
        <v>125833.05831609723</v>
      </c>
      <c r="G1262" s="30">
        <f t="shared" ca="1" si="341"/>
        <v>110553.32980628542</v>
      </c>
      <c r="H1262" s="30">
        <f t="shared" ca="1" si="341"/>
        <v>94430.969209535455</v>
      </c>
    </row>
    <row r="1263" spans="2:8">
      <c r="B1263" s="152">
        <f t="shared" si="280"/>
        <v>0</v>
      </c>
      <c r="D1263" s="30">
        <f t="shared" ref="D1263:H1263" ca="1" si="342">D333+D519+D891+D1077+D705</f>
        <v>0</v>
      </c>
      <c r="E1263" s="30">
        <f t="shared" ca="1" si="342"/>
        <v>64234.473874999996</v>
      </c>
      <c r="F1263" s="30">
        <f t="shared" ca="1" si="342"/>
        <v>58524.742863888889</v>
      </c>
      <c r="G1263" s="30">
        <f t="shared" ca="1" si="342"/>
        <v>52489.378756050348</v>
      </c>
      <c r="H1263" s="30">
        <f t="shared" ca="1" si="342"/>
        <v>46115.668478529951</v>
      </c>
    </row>
    <row r="1264" spans="2:8">
      <c r="B1264" s="152">
        <f t="shared" si="280"/>
        <v>0</v>
      </c>
      <c r="D1264" s="30">
        <f t="shared" ref="D1264:H1264" ca="1" si="343">D334+D520+D892+D1078+D706</f>
        <v>261878.83728125002</v>
      </c>
      <c r="E1264" s="30">
        <f t="shared" ca="1" si="343"/>
        <v>261543.0951821715</v>
      </c>
      <c r="F1264" s="30">
        <f t="shared" ca="1" si="343"/>
        <v>261026.89170483826</v>
      </c>
      <c r="G1264" s="30">
        <f t="shared" ca="1" si="343"/>
        <v>260321.41361914948</v>
      </c>
      <c r="H1264" s="30">
        <f t="shared" ca="1" si="343"/>
        <v>259417.5198218608</v>
      </c>
    </row>
    <row r="1265" spans="2:8">
      <c r="B1265" s="152">
        <f t="shared" si="280"/>
        <v>0</v>
      </c>
      <c r="D1265" s="30">
        <f t="shared" ref="D1265:H1265" ca="1" si="344">D335+D521+D893+D1079+D707</f>
        <v>0</v>
      </c>
      <c r="E1265" s="30">
        <f t="shared" ca="1" si="344"/>
        <v>-13273.960590625011</v>
      </c>
      <c r="F1265" s="30">
        <f t="shared" ca="1" si="344"/>
        <v>-13256.942692431901</v>
      </c>
      <c r="G1265" s="30">
        <f t="shared" ca="1" si="344"/>
        <v>-13230.777673959996</v>
      </c>
      <c r="H1265" s="30">
        <f t="shared" ca="1" si="344"/>
        <v>-13195.018815381725</v>
      </c>
    </row>
    <row r="1266" spans="2:8">
      <c r="B1266" s="152">
        <f t="shared" ref="B1266:B1319" si="345">B1080</f>
        <v>0</v>
      </c>
      <c r="D1266" s="30">
        <f t="shared" ref="D1266:H1266" ca="1" si="346">D336+D522+D894+D1080+D708</f>
        <v>-529.1635</v>
      </c>
      <c r="E1266" s="30">
        <f t="shared" ca="1" si="346"/>
        <v>-523.68939482758617</v>
      </c>
      <c r="F1266" s="30">
        <f t="shared" ca="1" si="346"/>
        <v>-517.61085720905169</v>
      </c>
      <c r="G1266" s="30">
        <f t="shared" ca="1" si="346"/>
        <v>-510.90108683782324</v>
      </c>
      <c r="H1266" s="30">
        <f t="shared" ca="1" si="346"/>
        <v>-503.5323211622777</v>
      </c>
    </row>
    <row r="1267" spans="2:8">
      <c r="B1267" s="152">
        <f t="shared" si="345"/>
        <v>0</v>
      </c>
      <c r="D1267" s="30">
        <f t="shared" ref="D1267:H1267" ca="1" si="347">D337+D523+D895+D1081+D709</f>
        <v>19356.384745833333</v>
      </c>
      <c r="E1267" s="30">
        <f t="shared" ca="1" si="347"/>
        <v>19156.146282945403</v>
      </c>
      <c r="F1267" s="30">
        <f t="shared" ca="1" si="347"/>
        <v>18933.79815644693</v>
      </c>
      <c r="G1267" s="30">
        <f t="shared" ca="1" si="347"/>
        <v>18688.360032196691</v>
      </c>
      <c r="H1267" s="30">
        <f t="shared" ca="1" si="347"/>
        <v>18418.81637788616</v>
      </c>
    </row>
    <row r="1268" spans="2:8">
      <c r="B1268" s="152">
        <f t="shared" si="345"/>
        <v>0</v>
      </c>
      <c r="D1268" s="30">
        <f t="shared" ref="D1268:H1268" ca="1" si="348">D338+D524+D896+D1082+D710</f>
        <v>3831.3587499999999</v>
      </c>
      <c r="E1268" s="30">
        <f t="shared" ca="1" si="348"/>
        <v>3791.7240043103448</v>
      </c>
      <c r="F1268" s="30">
        <f t="shared" ca="1" si="348"/>
        <v>3747.7129221174569</v>
      </c>
      <c r="G1268" s="30">
        <f t="shared" ca="1" si="348"/>
        <v>3699.1314583122307</v>
      </c>
      <c r="H1268" s="30">
        <f t="shared" ca="1" si="348"/>
        <v>3645.7786007404197</v>
      </c>
    </row>
    <row r="1269" spans="2:8">
      <c r="B1269" s="152">
        <f t="shared" si="345"/>
        <v>0</v>
      </c>
      <c r="D1269" s="30">
        <f t="shared" ref="D1269:H1269" ca="1" si="349">D339+D525+D897+D1083+D711</f>
        <v>0</v>
      </c>
      <c r="E1269" s="30">
        <f t="shared" ca="1" si="349"/>
        <v>1115.1951541666665</v>
      </c>
      <c r="F1269" s="30">
        <f t="shared" ca="1" si="349"/>
        <v>1103.658652571839</v>
      </c>
      <c r="G1269" s="30">
        <f t="shared" ca="1" si="349"/>
        <v>1090.8483289259159</v>
      </c>
      <c r="H1269" s="30">
        <f t="shared" ca="1" si="349"/>
        <v>1076.7077024398391</v>
      </c>
    </row>
    <row r="1270" spans="2:8">
      <c r="B1270" s="152">
        <f t="shared" si="345"/>
        <v>0</v>
      </c>
      <c r="D1270" s="30">
        <f t="shared" ref="D1270:H1270" ca="1" si="350">D340+D526+D898+D1084+D712</f>
        <v>0</v>
      </c>
      <c r="E1270" s="30">
        <f t="shared" ca="1" si="350"/>
        <v>0</v>
      </c>
      <c r="F1270" s="30">
        <f t="shared" ca="1" si="350"/>
        <v>4977.083333333333</v>
      </c>
      <c r="G1270" s="30">
        <f t="shared" ca="1" si="350"/>
        <v>4925.5962643678158</v>
      </c>
      <c r="H1270" s="30">
        <f t="shared" ca="1" si="350"/>
        <v>4868.4241648706893</v>
      </c>
    </row>
    <row r="1271" spans="2:8">
      <c r="B1271" s="152">
        <f t="shared" si="345"/>
        <v>0</v>
      </c>
      <c r="D1271" s="30">
        <f t="shared" ref="D1271:H1271" ca="1" si="351">D341+D527+D899+D1085+D713</f>
        <v>0</v>
      </c>
      <c r="E1271" s="30">
        <f t="shared" ca="1" si="351"/>
        <v>0</v>
      </c>
      <c r="F1271" s="30">
        <f t="shared" ca="1" si="351"/>
        <v>0</v>
      </c>
      <c r="G1271" s="30">
        <f t="shared" ca="1" si="351"/>
        <v>4977.083333333333</v>
      </c>
      <c r="H1271" s="30">
        <f t="shared" ca="1" si="351"/>
        <v>4925.5962643678158</v>
      </c>
    </row>
    <row r="1272" spans="2:8">
      <c r="B1272" s="152">
        <f t="shared" si="345"/>
        <v>0</v>
      </c>
      <c r="D1272" s="30">
        <f t="shared" ref="D1272:H1272" ca="1" si="352">D342+D528+D900+D1086+D714</f>
        <v>0</v>
      </c>
      <c r="E1272" s="30">
        <f t="shared" ca="1" si="352"/>
        <v>0</v>
      </c>
      <c r="F1272" s="30">
        <f t="shared" ca="1" si="352"/>
        <v>0</v>
      </c>
      <c r="G1272" s="30">
        <f t="shared" ca="1" si="352"/>
        <v>0</v>
      </c>
      <c r="H1272" s="30">
        <f t="shared" ca="1" si="352"/>
        <v>4977.083333333333</v>
      </c>
    </row>
    <row r="1273" spans="2:8">
      <c r="B1273" s="152">
        <f t="shared" si="345"/>
        <v>0</v>
      </c>
      <c r="D1273" s="30">
        <f t="shared" ref="D1273:H1273" ca="1" si="353">D343+D529+D901+D1087+D715</f>
        <v>321849.09071875003</v>
      </c>
      <c r="E1273" s="30">
        <f t="shared" ca="1" si="353"/>
        <v>321436.46367936704</v>
      </c>
      <c r="F1273" s="30">
        <f t="shared" ca="1" si="353"/>
        <v>320802.04960631562</v>
      </c>
      <c r="G1273" s="30">
        <f t="shared" ca="1" si="353"/>
        <v>319935.01703981211</v>
      </c>
      <c r="H1273" s="30">
        <f t="shared" ca="1" si="353"/>
        <v>318824.13156397943</v>
      </c>
    </row>
    <row r="1274" spans="2:8">
      <c r="B1274" s="152">
        <f t="shared" si="345"/>
        <v>0</v>
      </c>
      <c r="D1274" s="30">
        <f t="shared" ref="D1274:H1274" ca="1" si="354">D344+D530+D902+D1088+D716</f>
        <v>0</v>
      </c>
      <c r="E1274" s="30">
        <f t="shared" ca="1" si="354"/>
        <v>10401.198609375</v>
      </c>
      <c r="F1274" s="30">
        <f t="shared" ca="1" si="354"/>
        <v>10387.86373936298</v>
      </c>
      <c r="G1274" s="30">
        <f t="shared" ca="1" si="354"/>
        <v>10367.3613767195</v>
      </c>
      <c r="H1274" s="30">
        <f t="shared" ca="1" si="354"/>
        <v>10339.341481106745</v>
      </c>
    </row>
    <row r="1275" spans="2:8">
      <c r="B1275" s="152">
        <f t="shared" si="345"/>
        <v>0</v>
      </c>
      <c r="D1275" s="30">
        <f t="shared" ref="D1275:H1275" ca="1" si="355">D345+D531+D903+D1089+D717</f>
        <v>71272.76711666667</v>
      </c>
      <c r="E1275" s="30">
        <f t="shared" ca="1" si="355"/>
        <v>67836.401559255959</v>
      </c>
      <c r="F1275" s="30">
        <f t="shared" ca="1" si="355"/>
        <v>64183.672244526788</v>
      </c>
      <c r="G1275" s="30">
        <f t="shared" ca="1" si="355"/>
        <v>60305.908713086632</v>
      </c>
      <c r="H1275" s="30">
        <f t="shared" ca="1" si="355"/>
        <v>56194.142209921636</v>
      </c>
    </row>
    <row r="1276" spans="2:8">
      <c r="B1276" s="152">
        <f t="shared" si="345"/>
        <v>0</v>
      </c>
      <c r="D1276" s="30">
        <f t="shared" ref="D1276:H1276" ca="1" si="356">D346+D532+D904+D1090+D718</f>
        <v>0</v>
      </c>
      <c r="E1276" s="30">
        <f t="shared" ca="1" si="356"/>
        <v>124504.1015625</v>
      </c>
      <c r="F1276" s="30">
        <f t="shared" ca="1" si="356"/>
        <v>126001.3027838212</v>
      </c>
      <c r="G1276" s="30">
        <f t="shared" ca="1" si="356"/>
        <v>127495.54900273189</v>
      </c>
      <c r="H1276" s="30">
        <f t="shared" ca="1" si="356"/>
        <v>128985.75671834825</v>
      </c>
    </row>
    <row r="1277" spans="2:8">
      <c r="B1277" s="152">
        <f t="shared" si="345"/>
        <v>0</v>
      </c>
      <c r="D1277" s="30">
        <f t="shared" ref="D1277:H1277" ca="1" si="357">D347+D533+D905+D1091+D719</f>
        <v>41924.414525000007</v>
      </c>
      <c r="E1277" s="30">
        <f t="shared" ca="1" si="357"/>
        <v>41870.665275608982</v>
      </c>
      <c r="F1277" s="30">
        <f t="shared" ca="1" si="357"/>
        <v>41788.02580467028</v>
      </c>
      <c r="G1277" s="30">
        <f t="shared" ca="1" si="357"/>
        <v>41675.085194387386</v>
      </c>
      <c r="H1277" s="30">
        <f t="shared" ca="1" si="357"/>
        <v>41530.380037462426</v>
      </c>
    </row>
    <row r="1278" spans="2:8">
      <c r="B1278" s="152">
        <f t="shared" si="345"/>
        <v>0</v>
      </c>
      <c r="D1278" s="30">
        <f t="shared" ref="D1278:H1278" ca="1" si="358">D348+D534+D906+D1092+D720</f>
        <v>0</v>
      </c>
      <c r="E1278" s="30">
        <f t="shared" ca="1" si="358"/>
        <v>271068.75</v>
      </c>
      <c r="F1278" s="30">
        <f t="shared" ca="1" si="358"/>
        <v>273136.22351694916</v>
      </c>
      <c r="G1278" s="30">
        <f t="shared" ca="1" si="358"/>
        <v>275137.65274099575</v>
      </c>
      <c r="H1278" s="30">
        <f t="shared" ca="1" si="358"/>
        <v>277068.44328654656</v>
      </c>
    </row>
    <row r="1279" spans="2:8">
      <c r="B1279" s="152">
        <f t="shared" si="345"/>
        <v>0</v>
      </c>
      <c r="D1279" s="30">
        <f t="shared" ref="D1279:H1279" ca="1" si="359">D349+D535+D907+D1093+D721</f>
        <v>0</v>
      </c>
      <c r="E1279" s="30">
        <f t="shared" ca="1" si="359"/>
        <v>81705.288750000007</v>
      </c>
      <c r="F1279" s="30">
        <f t="shared" ca="1" si="359"/>
        <v>74442.596416666682</v>
      </c>
      <c r="G1279" s="30">
        <f t="shared" ca="1" si="359"/>
        <v>66765.703661197927</v>
      </c>
      <c r="H1279" s="30">
        <f t="shared" ca="1" si="359"/>
        <v>58658.439645195322</v>
      </c>
    </row>
    <row r="1280" spans="2:8">
      <c r="B1280" s="152">
        <f t="shared" si="345"/>
        <v>0</v>
      </c>
      <c r="D1280" s="30">
        <f t="shared" ref="D1280:H1280" ca="1" si="360">D350+D536+D908+D1094+D722</f>
        <v>100492.54116666668</v>
      </c>
      <c r="E1280" s="30">
        <f t="shared" ca="1" si="360"/>
        <v>95647.365074702393</v>
      </c>
      <c r="F1280" s="30">
        <f t="shared" ca="1" si="360"/>
        <v>90497.122339910726</v>
      </c>
      <c r="G1280" s="30">
        <f t="shared" ca="1" si="360"/>
        <v>85029.587865207781</v>
      </c>
      <c r="H1280" s="30">
        <f t="shared" ca="1" si="360"/>
        <v>79232.115965307239</v>
      </c>
    </row>
    <row r="1281" spans="2:8">
      <c r="B1281" s="152">
        <f t="shared" si="345"/>
        <v>0</v>
      </c>
      <c r="D1281" s="30">
        <f t="shared" ref="D1281:H1281" ca="1" si="361">D351+D537+D909+D1095+D723</f>
        <v>0</v>
      </c>
      <c r="E1281" s="30">
        <f t="shared" ca="1" si="361"/>
        <v>3380.2786333333333</v>
      </c>
      <c r="F1281" s="30">
        <f t="shared" ca="1" si="361"/>
        <v>3217.3009135119046</v>
      </c>
      <c r="G1281" s="30">
        <f t="shared" ca="1" si="361"/>
        <v>3044.061633553571</v>
      </c>
      <c r="H1281" s="30">
        <f t="shared" ca="1" si="361"/>
        <v>2860.1495765263762</v>
      </c>
    </row>
    <row r="1282" spans="2:8">
      <c r="B1282" s="152">
        <f t="shared" si="345"/>
        <v>0</v>
      </c>
      <c r="D1282" s="30">
        <f t="shared" ref="D1282:H1282" ca="1" si="362">D352+D538+D910+D1096+D724</f>
        <v>158013.58531874997</v>
      </c>
      <c r="E1282" s="30">
        <f t="shared" ca="1" si="362"/>
        <v>157811.00379911053</v>
      </c>
      <c r="F1282" s="30">
        <f t="shared" ca="1" si="362"/>
        <v>157499.5347126649</v>
      </c>
      <c r="G1282" s="30">
        <f t="shared" ca="1" si="362"/>
        <v>157073.86029452254</v>
      </c>
      <c r="H1282" s="30">
        <f t="shared" ca="1" si="362"/>
        <v>156528.46494627767</v>
      </c>
    </row>
    <row r="1283" spans="2:8">
      <c r="B1283" s="152">
        <f t="shared" si="345"/>
        <v>0</v>
      </c>
      <c r="D1283" s="30">
        <f t="shared" ref="D1283:H1283" ca="1" si="363">D353+D539+D911+D1097+D725</f>
        <v>0</v>
      </c>
      <c r="E1283" s="30">
        <f t="shared" ca="1" si="363"/>
        <v>79033.854200000002</v>
      </c>
      <c r="F1283" s="30">
        <f t="shared" ca="1" si="363"/>
        <v>78932.528745897434</v>
      </c>
      <c r="G1283" s="30">
        <f t="shared" ca="1" si="363"/>
        <v>78776.740860214748</v>
      </c>
      <c r="H1283" s="30">
        <f t="shared" ca="1" si="363"/>
        <v>78563.830749781744</v>
      </c>
    </row>
    <row r="1284" spans="2:8">
      <c r="B1284" s="152">
        <f t="shared" si="345"/>
        <v>0</v>
      </c>
      <c r="D1284" s="30">
        <f t="shared" ref="D1284:H1284" ca="1" si="364">D354+D540+D912+D1098+D726</f>
        <v>219280.1015125</v>
      </c>
      <c r="E1284" s="30">
        <f t="shared" ca="1" si="364"/>
        <v>220952.57686301909</v>
      </c>
      <c r="F1284" s="30">
        <f t="shared" ca="1" si="364"/>
        <v>222571.6259176188</v>
      </c>
      <c r="G1284" s="30">
        <f t="shared" ca="1" si="364"/>
        <v>224133.53206440911</v>
      </c>
      <c r="H1284" s="30">
        <f t="shared" ca="1" si="364"/>
        <v>225634.42625234043</v>
      </c>
    </row>
    <row r="1285" spans="2:8">
      <c r="B1285" s="152">
        <f t="shared" si="345"/>
        <v>0</v>
      </c>
      <c r="D1285" s="30">
        <f t="shared" ref="D1285:H1285" ca="1" si="365">D355+D541+D913+D1099+D727</f>
        <v>0</v>
      </c>
      <c r="E1285" s="30">
        <f t="shared" ca="1" si="365"/>
        <v>136538.33333333334</v>
      </c>
      <c r="F1285" s="30">
        <f t="shared" ca="1" si="365"/>
        <v>137579.72740112996</v>
      </c>
      <c r="G1285" s="30">
        <f t="shared" ca="1" si="365"/>
        <v>138587.85471398308</v>
      </c>
      <c r="H1285" s="30">
        <f t="shared" ca="1" si="365"/>
        <v>139560.40106285311</v>
      </c>
    </row>
    <row r="1286" spans="2:8">
      <c r="B1286" s="152">
        <f t="shared" si="345"/>
        <v>0</v>
      </c>
      <c r="D1286" s="30">
        <f t="shared" ref="D1286:H1286" ca="1" si="366">D356+D542+D914+D1100+D728</f>
        <v>0</v>
      </c>
      <c r="E1286" s="30">
        <f t="shared" ca="1" si="366"/>
        <v>235930.20833333334</v>
      </c>
      <c r="F1286" s="30">
        <f t="shared" ca="1" si="366"/>
        <v>237729.67602401131</v>
      </c>
      <c r="G1286" s="30">
        <f t="shared" ca="1" si="366"/>
        <v>239471.66071901485</v>
      </c>
      <c r="H1286" s="30">
        <f t="shared" ca="1" si="366"/>
        <v>241152.16360125353</v>
      </c>
    </row>
    <row r="1287" spans="2:8">
      <c r="B1287" s="152">
        <f t="shared" si="345"/>
        <v>0</v>
      </c>
      <c r="D1287" s="30">
        <f t="shared" ref="D1287:H1287" ca="1" si="367">D357+D543+D915+D1101+D729</f>
        <v>65555.044099999999</v>
      </c>
      <c r="E1287" s="30">
        <f t="shared" ca="1" si="367"/>
        <v>50395.440151874995</v>
      </c>
      <c r="F1287" s="30">
        <f t="shared" ca="1" si="367"/>
        <v>34436.884103781253</v>
      </c>
      <c r="G1287" s="30">
        <f t="shared" ca="1" si="367"/>
        <v>17648.903103187891</v>
      </c>
      <c r="H1287" s="30">
        <f t="shared" ca="1" si="367"/>
        <v>0</v>
      </c>
    </row>
    <row r="1288" spans="2:8">
      <c r="B1288" s="152">
        <f t="shared" si="345"/>
        <v>0</v>
      </c>
      <c r="D1288" s="30">
        <f t="shared" ref="D1288:H1288" ca="1" si="368">D358+D544+D916+D1102+D730</f>
        <v>0</v>
      </c>
      <c r="E1288" s="30">
        <f t="shared" ca="1" si="368"/>
        <v>100304.10389999999</v>
      </c>
      <c r="F1288" s="30">
        <f t="shared" ca="1" si="368"/>
        <v>77108.779873124993</v>
      </c>
      <c r="G1288" s="30">
        <f t="shared" ca="1" si="368"/>
        <v>52690.999579968746</v>
      </c>
      <c r="H1288" s="30">
        <f t="shared" ca="1" si="368"/>
        <v>27004.137284733981</v>
      </c>
    </row>
    <row r="1289" spans="2:8">
      <c r="B1289" s="152">
        <f t="shared" si="345"/>
        <v>0</v>
      </c>
      <c r="D1289" s="30">
        <f t="shared" ref="D1289:H1289" ca="1" si="369">D359+D545+D917+D1103+D731</f>
        <v>0</v>
      </c>
      <c r="E1289" s="30">
        <f t="shared" ca="1" si="369"/>
        <v>493437.5</v>
      </c>
      <c r="F1289" s="30">
        <f t="shared" ca="1" si="369"/>
        <v>479153.78289473685</v>
      </c>
      <c r="G1289" s="30">
        <f t="shared" ca="1" si="369"/>
        <v>463847.48149671056</v>
      </c>
      <c r="H1289" s="30">
        <f t="shared" ca="1" si="369"/>
        <v>447476.39391447371</v>
      </c>
    </row>
    <row r="1290" spans="2:8">
      <c r="B1290" s="152">
        <f t="shared" si="345"/>
        <v>0</v>
      </c>
      <c r="D1290" s="30">
        <f t="shared" ref="D1290:H1290" ca="1" si="370">D360+D546+D918+D1104+D732</f>
        <v>544958.46724375011</v>
      </c>
      <c r="E1290" s="30">
        <f t="shared" ca="1" si="370"/>
        <v>544259.80254215561</v>
      </c>
      <c r="F1290" s="30">
        <f t="shared" ca="1" si="370"/>
        <v>543185.60556345398</v>
      </c>
      <c r="G1290" s="30">
        <f t="shared" ca="1" si="370"/>
        <v>541717.53635922843</v>
      </c>
      <c r="H1290" s="30">
        <f t="shared" ca="1" si="370"/>
        <v>539836.5726913145</v>
      </c>
    </row>
    <row r="1291" spans="2:8">
      <c r="B1291" s="152">
        <f t="shared" si="345"/>
        <v>0</v>
      </c>
      <c r="D1291" s="30">
        <f t="shared" ref="D1291:H1291" ca="1" si="371">D361+D547+D919+D1105+D733</f>
        <v>0</v>
      </c>
      <c r="E1291" s="30">
        <f t="shared" ca="1" si="371"/>
        <v>1812807.78048125</v>
      </c>
      <c r="F1291" s="30">
        <f t="shared" ca="1" si="371"/>
        <v>1810483.6679421715</v>
      </c>
      <c r="G1291" s="30">
        <f t="shared" ca="1" si="371"/>
        <v>1806910.3449133383</v>
      </c>
      <c r="H1291" s="30">
        <f t="shared" ca="1" si="371"/>
        <v>1802026.8034405997</v>
      </c>
    </row>
    <row r="1292" spans="2:8">
      <c r="B1292" s="152">
        <f t="shared" si="345"/>
        <v>0</v>
      </c>
      <c r="D1292" s="30">
        <f t="shared" ref="D1292:H1292" ca="1" si="372">D362+D548+D920+D1106+D734</f>
        <v>0</v>
      </c>
      <c r="E1292" s="30">
        <f t="shared" ca="1" si="372"/>
        <v>159950</v>
      </c>
      <c r="F1292" s="30">
        <f t="shared" ca="1" si="372"/>
        <v>159744.93589743591</v>
      </c>
      <c r="G1292" s="30">
        <f t="shared" ca="1" si="372"/>
        <v>159429.64983974359</v>
      </c>
      <c r="H1292" s="30">
        <f t="shared" ca="1" si="372"/>
        <v>158998.75889423076</v>
      </c>
    </row>
    <row r="1293" spans="2:8">
      <c r="B1293" s="152">
        <f t="shared" si="345"/>
        <v>0</v>
      </c>
      <c r="D1293" s="30">
        <f t="shared" ref="D1293:H1293" ca="1" si="373">D363+D549+D921+D1107+D735</f>
        <v>0</v>
      </c>
      <c r="E1293" s="30">
        <f t="shared" ca="1" si="373"/>
        <v>810346.68750000012</v>
      </c>
      <c r="F1293" s="30">
        <f t="shared" ca="1" si="373"/>
        <v>809307.78149038483</v>
      </c>
      <c r="G1293" s="30">
        <f t="shared" ca="1" si="373"/>
        <v>807710.46350060124</v>
      </c>
      <c r="H1293" s="30">
        <f t="shared" ca="1" si="373"/>
        <v>805527.46224789694</v>
      </c>
    </row>
    <row r="1294" spans="2:8">
      <c r="B1294" s="152">
        <f t="shared" si="345"/>
        <v>0</v>
      </c>
      <c r="D1294" s="30">
        <f t="shared" ref="D1294:H1294" ca="1" si="374">D364+D550+D922+D1108+D736</f>
        <v>0</v>
      </c>
      <c r="E1294" s="30">
        <f t="shared" ca="1" si="374"/>
        <v>64884.375</v>
      </c>
      <c r="F1294" s="30">
        <f t="shared" ca="1" si="374"/>
        <v>59116.875</v>
      </c>
      <c r="G1294" s="30">
        <f t="shared" ca="1" si="374"/>
        <v>53020.447265625</v>
      </c>
      <c r="H1294" s="30">
        <f t="shared" ca="1" si="374"/>
        <v>46582.250097656251</v>
      </c>
    </row>
    <row r="1295" spans="2:8">
      <c r="B1295" s="152">
        <f t="shared" si="345"/>
        <v>0</v>
      </c>
      <c r="D1295" s="30">
        <f t="shared" ref="D1295:H1295" ca="1" si="375">D365+D551+D923+D1109+D737</f>
        <v>0</v>
      </c>
      <c r="E1295" s="30">
        <f t="shared" ca="1" si="375"/>
        <v>758095.52109375002</v>
      </c>
      <c r="F1295" s="30">
        <f t="shared" ca="1" si="375"/>
        <v>757123.60375901451</v>
      </c>
      <c r="G1295" s="30">
        <f t="shared" ca="1" si="375"/>
        <v>755629.28085685859</v>
      </c>
      <c r="H1295" s="30">
        <f t="shared" ca="1" si="375"/>
        <v>753587.03955724544</v>
      </c>
    </row>
    <row r="1296" spans="2:8">
      <c r="B1296" s="152">
        <f t="shared" si="345"/>
        <v>0</v>
      </c>
      <c r="D1296" s="30">
        <f t="shared" ref="D1296:H1296" ca="1" si="376">D366+D552+D924+D1110+D738</f>
        <v>5563203.8613354564</v>
      </c>
      <c r="E1296" s="30">
        <f t="shared" ca="1" si="376"/>
        <v>5664013.595735494</v>
      </c>
      <c r="F1296" s="30">
        <f t="shared" ca="1" si="376"/>
        <v>5766386.8144421997</v>
      </c>
      <c r="G1296" s="30">
        <f t="shared" ca="1" si="376"/>
        <v>5870338.685586906</v>
      </c>
      <c r="H1296" s="30">
        <f t="shared" ca="1" si="376"/>
        <v>5975884.1585298209</v>
      </c>
    </row>
    <row r="1297" spans="2:8">
      <c r="B1297" s="152">
        <f t="shared" si="345"/>
        <v>0</v>
      </c>
      <c r="D1297" s="30">
        <f t="shared" ref="D1297:H1297" ca="1" si="377">D367+D553+D925+D1111+D739</f>
        <v>391192.352229524</v>
      </c>
      <c r="E1297" s="30">
        <f t="shared" ca="1" si="377"/>
        <v>398281.07270616636</v>
      </c>
      <c r="F1297" s="30">
        <f t="shared" ca="1" si="377"/>
        <v>405479.73398649739</v>
      </c>
      <c r="G1297" s="30">
        <f t="shared" ca="1" si="377"/>
        <v>412789.40266040363</v>
      </c>
      <c r="H1297" s="30">
        <f t="shared" ca="1" si="377"/>
        <v>420211.12993426365</v>
      </c>
    </row>
    <row r="1298" spans="2:8">
      <c r="B1298" s="152">
        <f t="shared" si="345"/>
        <v>0</v>
      </c>
      <c r="D1298" s="30">
        <f t="shared" ref="D1298:H1298" ca="1" si="378">D368+D554+D926+D1112+D740</f>
        <v>104742.70370531637</v>
      </c>
      <c r="E1298" s="30">
        <f t="shared" ca="1" si="378"/>
        <v>103659.15849457172</v>
      </c>
      <c r="F1298" s="30">
        <f t="shared" ca="1" si="378"/>
        <v>102455.971833474</v>
      </c>
      <c r="G1298" s="30">
        <f t="shared" ca="1" si="378"/>
        <v>101127.8388652623</v>
      </c>
      <c r="H1298" s="30">
        <f t="shared" ca="1" si="378"/>
        <v>99669.264266244092</v>
      </c>
    </row>
    <row r="1299" spans="2:8">
      <c r="B1299" s="152">
        <f t="shared" si="345"/>
        <v>0</v>
      </c>
      <c r="D1299" s="30">
        <f t="shared" ref="D1299:H1299" ca="1" si="379">D369+D555+D927+D1113+D741</f>
        <v>10930.934288924002</v>
      </c>
      <c r="E1299" s="30">
        <f t="shared" ca="1" si="379"/>
        <v>10614.512506876203</v>
      </c>
      <c r="F1299" s="30">
        <f t="shared" ca="1" si="379"/>
        <v>10275.437801795435</v>
      </c>
      <c r="G1299" s="30">
        <f t="shared" ca="1" si="379"/>
        <v>9912.7752911438311</v>
      </c>
      <c r="H1299" s="30">
        <f t="shared" ca="1" si="379"/>
        <v>9525.5575063335255</v>
      </c>
    </row>
    <row r="1300" spans="2:8">
      <c r="B1300" s="152">
        <f t="shared" si="345"/>
        <v>0</v>
      </c>
      <c r="D1300" s="30">
        <f t="shared" ref="D1300:H1300" ca="1" si="380">D370+D556+D928+D1114+D742</f>
        <v>47911.967799226433</v>
      </c>
      <c r="E1300" s="30">
        <f t="shared" ca="1" si="380"/>
        <v>43653.126217072975</v>
      </c>
      <c r="F1300" s="30">
        <f t="shared" ca="1" si="380"/>
        <v>39151.397575937328</v>
      </c>
      <c r="G1300" s="30">
        <f t="shared" ca="1" si="380"/>
        <v>34397.299298859223</v>
      </c>
      <c r="H1300" s="30">
        <f t="shared" ca="1" si="380"/>
        <v>29381.026484442253</v>
      </c>
    </row>
    <row r="1301" spans="2:8">
      <c r="B1301" s="152">
        <f t="shared" si="345"/>
        <v>0</v>
      </c>
      <c r="D1301" s="30">
        <f t="shared" ref="D1301:H1301" ca="1" si="381">D371+D557+D929+D1115+D743</f>
        <v>6041.6409630844155</v>
      </c>
      <c r="E1301" s="30">
        <f t="shared" ca="1" si="381"/>
        <v>5866.7513562582881</v>
      </c>
      <c r="F1301" s="30">
        <f t="shared" ca="1" si="381"/>
        <v>5679.341243488926</v>
      </c>
      <c r="G1301" s="30">
        <f t="shared" ca="1" si="381"/>
        <v>5478.8939054834345</v>
      </c>
      <c r="H1301" s="30">
        <f t="shared" ca="1" si="381"/>
        <v>5264.8746123004876</v>
      </c>
    </row>
    <row r="1302" spans="2:8">
      <c r="B1302" s="152">
        <f t="shared" si="345"/>
        <v>0</v>
      </c>
      <c r="D1302" s="30">
        <f t="shared" ref="D1302:H1302" ca="1" si="382">D372+D558+D930+D1116+D744</f>
        <v>30469.63785348376</v>
      </c>
      <c r="E1302" s="30">
        <f t="shared" ca="1" si="382"/>
        <v>30154.434703275307</v>
      </c>
      <c r="F1302" s="30">
        <f t="shared" ca="1" si="382"/>
        <v>29804.427871898006</v>
      </c>
      <c r="G1302" s="30">
        <f t="shared" ca="1" si="382"/>
        <v>29418.07417726229</v>
      </c>
      <c r="H1302" s="30">
        <f t="shared" ca="1" si="382"/>
        <v>28993.775030474855</v>
      </c>
    </row>
    <row r="1303" spans="2:8">
      <c r="B1303" s="152">
        <f t="shared" si="345"/>
        <v>0</v>
      </c>
      <c r="D1303" s="30">
        <f t="shared" ref="D1303:H1303" ca="1" si="383">D373+D559+D931+D1117+D745</f>
        <v>27412.024693518873</v>
      </c>
      <c r="E1303" s="30">
        <f t="shared" ca="1" si="383"/>
        <v>27128.452024275575</v>
      </c>
      <c r="F1303" s="30">
        <f t="shared" ca="1" si="383"/>
        <v>26813.568206136664</v>
      </c>
      <c r="G1303" s="30">
        <f t="shared" ca="1" si="383"/>
        <v>26465.984914575634</v>
      </c>
      <c r="H1303" s="30">
        <f t="shared" ca="1" si="383"/>
        <v>26084.263978307717</v>
      </c>
    </row>
    <row r="1304" spans="2:8">
      <c r="B1304" s="152">
        <f t="shared" si="345"/>
        <v>0</v>
      </c>
      <c r="D1304" s="30">
        <f t="shared" ref="D1304:H1304" ca="1" si="384">D374+D560+D932+D1118+D746</f>
        <v>6041.6356011700527</v>
      </c>
      <c r="E1304" s="30">
        <f t="shared" ca="1" si="384"/>
        <v>5866.7461495572352</v>
      </c>
      <c r="F1304" s="30">
        <f t="shared" ca="1" si="384"/>
        <v>5679.3362031130455</v>
      </c>
      <c r="G1304" s="30">
        <f t="shared" ca="1" si="384"/>
        <v>5478.8890430031734</v>
      </c>
      <c r="H1304" s="30">
        <f t="shared" ca="1" si="384"/>
        <v>5264.8699397608625</v>
      </c>
    </row>
    <row r="1305" spans="2:8">
      <c r="B1305" s="152">
        <f t="shared" si="345"/>
        <v>0</v>
      </c>
      <c r="D1305" s="30">
        <f t="shared" ref="D1305:H1305" ca="1" si="385">D375+D561+D933+D1119+D747</f>
        <v>9058.9377914760717</v>
      </c>
      <c r="E1305" s="30">
        <f t="shared" ca="1" si="385"/>
        <v>8796.705381722817</v>
      </c>
      <c r="F1305" s="30">
        <f t="shared" ca="1" si="385"/>
        <v>8515.6995153622265</v>
      </c>
      <c r="G1305" s="30">
        <f t="shared" ca="1" si="385"/>
        <v>8215.1454148200301</v>
      </c>
      <c r="H1305" s="30">
        <f t="shared" ca="1" si="385"/>
        <v>7894.2412970536216</v>
      </c>
    </row>
    <row r="1306" spans="2:8">
      <c r="B1306" s="152">
        <f t="shared" si="345"/>
        <v>0</v>
      </c>
      <c r="D1306" s="30">
        <f t="shared" ref="D1306:H1306" ca="1" si="386">D376+D562+D934+D1120+D748</f>
        <v>573543.67850717413</v>
      </c>
      <c r="E1306" s="30">
        <f t="shared" ca="1" si="386"/>
        <v>581944.06571763277</v>
      </c>
      <c r="F1306" s="30">
        <f t="shared" ca="1" si="386"/>
        <v>590406.00748954725</v>
      </c>
      <c r="G1306" s="30">
        <f t="shared" ca="1" si="386"/>
        <v>598927.33130898408</v>
      </c>
      <c r="H1306" s="30">
        <f t="shared" ca="1" si="386"/>
        <v>607505.7175647117</v>
      </c>
    </row>
    <row r="1307" spans="2:8">
      <c r="B1307" s="152">
        <f t="shared" si="345"/>
        <v>0</v>
      </c>
      <c r="D1307" s="30">
        <f t="shared" ref="D1307:H1307" ca="1" si="387">D377+D563+D935+D1121+D749</f>
        <v>101718.23171652023</v>
      </c>
      <c r="E1307" s="30">
        <f t="shared" ca="1" si="387"/>
        <v>103208.04420125714</v>
      </c>
      <c r="F1307" s="30">
        <f t="shared" ca="1" si="387"/>
        <v>104708.77341540808</v>
      </c>
      <c r="G1307" s="30">
        <f t="shared" ca="1" si="387"/>
        <v>106220.03406264079</v>
      </c>
      <c r="H1307" s="30">
        <f t="shared" ca="1" si="387"/>
        <v>107741.41475885049</v>
      </c>
    </row>
    <row r="1308" spans="2:8">
      <c r="B1308" s="152">
        <f t="shared" si="345"/>
        <v>0</v>
      </c>
      <c r="D1308" s="30">
        <f t="shared" ref="D1308:H1308" ca="1" si="388">D378+D564+D936+D1122+D750</f>
        <v>132355.66053187722</v>
      </c>
      <c r="E1308" s="30">
        <f t="shared" ca="1" si="388"/>
        <v>120590.71292904369</v>
      </c>
      <c r="F1308" s="30">
        <f t="shared" ca="1" si="388"/>
        <v>108154.79565823606</v>
      </c>
      <c r="G1308" s="30">
        <f t="shared" ca="1" si="388"/>
        <v>95021.713328307407</v>
      </c>
      <c r="H1308" s="30">
        <f t="shared" ca="1" si="388"/>
        <v>81164.380134595907</v>
      </c>
    </row>
    <row r="1309" spans="2:8">
      <c r="B1309" s="152">
        <f t="shared" si="345"/>
        <v>0</v>
      </c>
      <c r="D1309" s="30">
        <f t="shared" ref="D1309:H1309" ca="1" si="389">D379+D565+D937+D1123+D751</f>
        <v>637418.45019846549</v>
      </c>
      <c r="E1309" s="30">
        <f t="shared" ca="1" si="389"/>
        <v>626130.83180953434</v>
      </c>
      <c r="F1309" s="30">
        <f t="shared" ca="1" si="389"/>
        <v>613880.44596978254</v>
      </c>
      <c r="G1309" s="30">
        <f t="shared" ca="1" si="389"/>
        <v>600626.20906816225</v>
      </c>
      <c r="H1309" s="30">
        <f t="shared" ca="1" si="389"/>
        <v>586325.58504272986</v>
      </c>
    </row>
    <row r="1310" spans="2:8">
      <c r="B1310" s="152">
        <f t="shared" si="345"/>
        <v>0</v>
      </c>
      <c r="D1310" s="30">
        <f t="shared" ref="D1310:H1310" ca="1" si="390">D380+D566+D938+D1124+D752</f>
        <v>483927.10324999999</v>
      </c>
      <c r="E1310" s="30">
        <f t="shared" ca="1" si="390"/>
        <v>492696.25210083893</v>
      </c>
      <c r="F1310" s="30">
        <f t="shared" ca="1" si="390"/>
        <v>501601.40395468852</v>
      </c>
      <c r="G1310" s="30">
        <f t="shared" ca="1" si="390"/>
        <v>510643.8782436676</v>
      </c>
      <c r="H1310" s="30">
        <f t="shared" ca="1" si="390"/>
        <v>519824.97536962398</v>
      </c>
    </row>
    <row r="1311" spans="2:8">
      <c r="B1311" s="152">
        <f t="shared" si="345"/>
        <v>0</v>
      </c>
      <c r="D1311" s="30">
        <f t="shared" ref="D1311:H1311" ca="1" si="391">D381+D567+D939+D1125+D753</f>
        <v>33686.692847869155</v>
      </c>
      <c r="E1311" s="30">
        <f t="shared" ca="1" si="391"/>
        <v>34180.083803721784</v>
      </c>
      <c r="F1311" s="30">
        <f t="shared" ca="1" si="391"/>
        <v>34677.090124337119</v>
      </c>
      <c r="G1311" s="30">
        <f t="shared" ca="1" si="391"/>
        <v>35177.584208605906</v>
      </c>
      <c r="H1311" s="30">
        <f t="shared" ca="1" si="391"/>
        <v>35681.429815760421</v>
      </c>
    </row>
    <row r="1312" spans="2:8">
      <c r="B1312" s="152">
        <f t="shared" si="345"/>
        <v>0</v>
      </c>
      <c r="D1312" s="30">
        <f t="shared" ref="D1312:H1312" ca="1" si="392">D382+D568+D940+D1126+D754</f>
        <v>259469.21789398036</v>
      </c>
      <c r="E1312" s="30">
        <f t="shared" ca="1" si="392"/>
        <v>262589.41734966746</v>
      </c>
      <c r="F1312" s="30">
        <f t="shared" ca="1" si="392"/>
        <v>265703.4585169552</v>
      </c>
      <c r="G1312" s="30">
        <f t="shared" ca="1" si="392"/>
        <v>268809.08335676382</v>
      </c>
      <c r="H1312" s="30">
        <f t="shared" ca="1" si="392"/>
        <v>271903.92477698973</v>
      </c>
    </row>
    <row r="1313" spans="2:8">
      <c r="B1313" s="152">
        <f t="shared" si="345"/>
        <v>0</v>
      </c>
      <c r="D1313" s="30">
        <f t="shared" ref="D1313:H1313" ca="1" si="393">D383+D569+D941+D1127+D755</f>
        <v>66725.225495108592</v>
      </c>
      <c r="E1313" s="30">
        <f t="shared" ca="1" si="393"/>
        <v>67234.146706511965</v>
      </c>
      <c r="F1313" s="30">
        <f t="shared" ca="1" si="393"/>
        <v>67726.810712551058</v>
      </c>
      <c r="G1313" s="30">
        <f t="shared" ca="1" si="393"/>
        <v>68202.086577200549</v>
      </c>
      <c r="H1313" s="30">
        <f t="shared" ca="1" si="393"/>
        <v>68658.796978387167</v>
      </c>
    </row>
    <row r="1314" spans="2:8">
      <c r="B1314" s="152">
        <f t="shared" si="345"/>
        <v>0</v>
      </c>
      <c r="D1314" s="30">
        <f t="shared" ref="D1314:H1314" ca="1" si="394">D384+D570+D942+D1128+D756</f>
        <v>29333.997185113636</v>
      </c>
      <c r="E1314" s="30">
        <f t="shared" ca="1" si="394"/>
        <v>29030.542041819357</v>
      </c>
      <c r="F1314" s="30">
        <f t="shared" ca="1" si="394"/>
        <v>28693.580393119671</v>
      </c>
      <c r="G1314" s="30">
        <f t="shared" ca="1" si="394"/>
        <v>28321.626573208861</v>
      </c>
      <c r="H1314" s="30">
        <f t="shared" ca="1" si="394"/>
        <v>27913.141574556812</v>
      </c>
    </row>
    <row r="1315" spans="2:8">
      <c r="B1315" s="152">
        <f t="shared" si="345"/>
        <v>0</v>
      </c>
      <c r="D1315" s="30">
        <f t="shared" ref="D1315:H1315" ca="1" si="395">D385+D571+D943+D1129+D757</f>
        <v>29333.997185113636</v>
      </c>
      <c r="E1315" s="30">
        <f t="shared" ca="1" si="395"/>
        <v>29030.542041819357</v>
      </c>
      <c r="F1315" s="30">
        <f t="shared" ca="1" si="395"/>
        <v>28693.580393119671</v>
      </c>
      <c r="G1315" s="30">
        <f t="shared" ca="1" si="395"/>
        <v>28321.626573208861</v>
      </c>
      <c r="H1315" s="30">
        <f t="shared" ca="1" si="395"/>
        <v>27913.141574556812</v>
      </c>
    </row>
    <row r="1316" spans="2:8">
      <c r="B1316" s="152">
        <f t="shared" si="345"/>
        <v>0</v>
      </c>
      <c r="D1316" s="30">
        <f t="shared" ref="D1316:H1316" ca="1" si="396">D386+D572+D944+D1130+D758</f>
        <v>83969.590468750001</v>
      </c>
      <c r="E1316" s="30">
        <f t="shared" ca="1" si="396"/>
        <v>84979.351366791932</v>
      </c>
      <c r="F1316" s="30">
        <f t="shared" ca="1" si="396"/>
        <v>85987.119315692995</v>
      </c>
      <c r="G1316" s="30">
        <f t="shared" ca="1" si="396"/>
        <v>86992.163567434865</v>
      </c>
      <c r="H1316" s="30">
        <f t="shared" ca="1" si="396"/>
        <v>87993.71808219151</v>
      </c>
    </row>
    <row r="1317" spans="2:8">
      <c r="B1317" s="152">
        <f t="shared" si="345"/>
        <v>0</v>
      </c>
      <c r="D1317" s="30">
        <f t="shared" ref="D1317:H1317" ca="1" si="397">D387+D573+D945+D1131+D759</f>
        <v>99751.61361249999</v>
      </c>
      <c r="E1317" s="30">
        <f t="shared" ca="1" si="397"/>
        <v>90884.803513611099</v>
      </c>
      <c r="F1317" s="30">
        <f t="shared" ca="1" si="397"/>
        <v>81512.308151269957</v>
      </c>
      <c r="G1317" s="30">
        <f t="shared" ca="1" si="397"/>
        <v>71614.385018615736</v>
      </c>
      <c r="H1317" s="30">
        <f t="shared" ca="1" si="397"/>
        <v>61170.620536734277</v>
      </c>
    </row>
    <row r="1318" spans="2:8">
      <c r="B1318" s="2" t="str">
        <f t="shared" si="345"/>
        <v>Carndo Year 4 Reduction</v>
      </c>
      <c r="D1318" s="30">
        <f t="shared" ref="D1318:H1318" ca="1" si="398">D388+D574+D946+D1132+D760</f>
        <v>0</v>
      </c>
      <c r="E1318" s="30">
        <f t="shared" ca="1" si="398"/>
        <v>0</v>
      </c>
      <c r="F1318" s="30">
        <f t="shared" ca="1" si="398"/>
        <v>0</v>
      </c>
      <c r="G1318" s="30">
        <f t="shared" ca="1" si="398"/>
        <v>-2075565.4257440281</v>
      </c>
      <c r="H1318" s="30">
        <f t="shared" ca="1" si="398"/>
        <v>-2063154.0040441374</v>
      </c>
    </row>
    <row r="1319" spans="2:8">
      <c r="B1319" s="2" t="str">
        <f t="shared" si="345"/>
        <v>Carndo Year 5 Reduction</v>
      </c>
      <c r="D1319" s="30">
        <f t="shared" ref="D1319:H1319" ca="1" si="399">D389+D575+D947+D1133+D761</f>
        <v>0</v>
      </c>
      <c r="E1319" s="30">
        <f t="shared" ca="1" si="399"/>
        <v>0</v>
      </c>
      <c r="F1319" s="30">
        <f t="shared" ca="1" si="399"/>
        <v>0</v>
      </c>
      <c r="G1319" s="30">
        <f t="shared" ca="1" si="399"/>
        <v>0</v>
      </c>
      <c r="H1319" s="30">
        <f t="shared" ca="1" si="399"/>
        <v>-3744737.9022401832</v>
      </c>
    </row>
    <row r="1320" spans="2:8" ht="15.75">
      <c r="B1320" s="10" t="s">
        <v>134</v>
      </c>
      <c r="D1320" s="48">
        <f ca="1">SUM(D1137:D1319)</f>
        <v>34605094.976925425</v>
      </c>
      <c r="E1320" s="48">
        <f ca="1">SUM(E1137:E1319)</f>
        <v>61437991.118655689</v>
      </c>
      <c r="F1320" s="48">
        <f ca="1">SUM(F1137:F1319)</f>
        <v>85648090.961847946</v>
      </c>
      <c r="G1320" s="48">
        <f ca="1">SUM(G1137:G1319)</f>
        <v>114255857.02566336</v>
      </c>
      <c r="H1320" s="48">
        <f ca="1">SUM(H1137:H1319)</f>
        <v>156194428.7386632</v>
      </c>
    </row>
  </sheetData>
  <pageMargins left="0" right="0" top="0" bottom="0" header="0" footer="0"/>
  <pageSetup paperSize="9" scale="75"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F58F3DCE-3E72-AE41-BFAB-EA40396362DE}">
            <xm:f>'2. Notes and Assumptions'!$D$92="ERROR"</xm:f>
            <x14:dxf>
              <font>
                <color theme="0"/>
              </font>
              <fill>
                <patternFill patternType="solid">
                  <fgColor indexed="64"/>
                  <bgColor rgb="FFFF0000"/>
                </patternFill>
              </fill>
            </x14:dxf>
          </x14:cfRule>
          <x14:cfRule type="expression" priority="2" id="{BFF5CBC1-3619-8748-8D28-9BE1DBA38590}">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sheetPr codeName="Sheet22"/>
  <dimension ref="A1:H250"/>
  <sheetViews>
    <sheetView zoomScaleNormal="100" workbookViewId="0">
      <pane ySplit="4" topLeftCell="A5" activePane="bottomLeft" state="frozen"/>
      <selection activeCell="A58" sqref="A58"/>
      <selection pane="bottomLeft" activeCell="F58" sqref="F58"/>
    </sheetView>
  </sheetViews>
  <sheetFormatPr defaultColWidth="10.6640625" defaultRowHeight="15"/>
  <cols>
    <col min="1" max="1" width="31" style="35" customWidth="1"/>
    <col min="2" max="2" width="48.5546875" style="2" customWidth="1"/>
    <col min="3" max="3" width="9.33203125" style="2" customWidth="1"/>
    <col min="4" max="4" width="13.21875" style="2" customWidth="1"/>
    <col min="5" max="5" width="12.21875" style="2" customWidth="1"/>
    <col min="6" max="6" width="12.6640625" style="2" customWidth="1"/>
    <col min="7" max="8" width="11.44140625" style="2" customWidth="1"/>
    <col min="9" max="16384" width="10.6640625" style="2"/>
  </cols>
  <sheetData>
    <row r="1" spans="1:8" s="6" customFormat="1" ht="19.5" customHeight="1">
      <c r="A1" s="92" t="s">
        <v>115</v>
      </c>
      <c r="B1" s="92"/>
      <c r="C1" s="92"/>
      <c r="D1" s="92"/>
      <c r="E1" s="92"/>
      <c r="F1" s="92"/>
      <c r="G1" s="92"/>
    </row>
    <row r="2" spans="1:8" ht="18" customHeight="1">
      <c r="A2" s="3" t="str">
        <f ca="1">MID(CELL("filename",A1),FIND("]",CELL("filename",A1))+1,LEN(CELL("filename",A1))-FIND("]",CELL("filename",A1)))</f>
        <v>14.Water-Existing Assets Tax BV</v>
      </c>
      <c r="B2" s="3"/>
      <c r="C2" s="3"/>
      <c r="D2" s="3"/>
      <c r="E2" s="3"/>
      <c r="F2" s="3"/>
      <c r="G2" s="3"/>
    </row>
    <row r="3" spans="1:8" s="6" customFormat="1">
      <c r="A3" s="35"/>
      <c r="B3" s="63"/>
      <c r="C3" s="16" t="s">
        <v>0</v>
      </c>
      <c r="D3" s="17">
        <v>1</v>
      </c>
      <c r="E3" s="17">
        <v>2</v>
      </c>
      <c r="F3" s="17">
        <v>3</v>
      </c>
      <c r="G3" s="17">
        <v>4</v>
      </c>
      <c r="H3" s="17">
        <v>5</v>
      </c>
    </row>
    <row r="4" spans="1:8" s="6" customFormat="1">
      <c r="A4" s="35"/>
      <c r="B4" s="65"/>
      <c r="C4" s="18" t="s">
        <v>1</v>
      </c>
      <c r="D4" s="19" t="s">
        <v>10</v>
      </c>
      <c r="E4" s="19" t="s">
        <v>11</v>
      </c>
      <c r="F4" s="19" t="s">
        <v>2</v>
      </c>
      <c r="G4" s="19" t="s">
        <v>3</v>
      </c>
      <c r="H4" s="19" t="s">
        <v>4</v>
      </c>
    </row>
    <row r="5" spans="1:8" ht="15.75">
      <c r="B5" s="10" t="s">
        <v>19</v>
      </c>
    </row>
    <row r="6" spans="1:8">
      <c r="B6" s="2" t="s">
        <v>20</v>
      </c>
      <c r="D6" s="67">
        <f ca="1">'3. General Model Inputs'!E8</f>
        <v>2.5000000000000001E-2</v>
      </c>
      <c r="E6" s="67">
        <f ca="1">'3. General Model Inputs'!F8</f>
        <v>2.5000000000000001E-2</v>
      </c>
      <c r="F6" s="67">
        <f ca="1">'3. General Model Inputs'!G8</f>
        <v>2.5000000000000001E-2</v>
      </c>
      <c r="G6" s="67">
        <f ca="1">'3. General Model Inputs'!H8</f>
        <v>2.5000000000000001E-2</v>
      </c>
      <c r="H6" s="67">
        <f ca="1">'3. General Model Inputs'!I8</f>
        <v>2.5000000000000001E-2</v>
      </c>
    </row>
    <row r="8" spans="1:8" ht="15.75">
      <c r="B8" s="10" t="s">
        <v>121</v>
      </c>
    </row>
    <row r="9" spans="1:8">
      <c r="B9" s="6" t="s">
        <v>116</v>
      </c>
      <c r="D9" s="46">
        <f>D65</f>
        <v>1083846374.5413301</v>
      </c>
      <c r="E9" s="46">
        <f>E65</f>
        <v>1052804884.5791311</v>
      </c>
      <c r="F9" s="46">
        <f>F65</f>
        <v>1021763394.6169322</v>
      </c>
      <c r="G9" s="46">
        <f>G65</f>
        <v>990721904.65473318</v>
      </c>
      <c r="H9" s="46">
        <f>H65</f>
        <v>959680414.69253421</v>
      </c>
    </row>
    <row r="10" spans="1:8">
      <c r="B10" s="6" t="s">
        <v>27</v>
      </c>
      <c r="D10" s="46">
        <f>D89</f>
        <v>0</v>
      </c>
      <c r="E10" s="46">
        <f>E89</f>
        <v>0</v>
      </c>
      <c r="F10" s="46">
        <f>F89</f>
        <v>0</v>
      </c>
      <c r="G10" s="46">
        <f>G89</f>
        <v>0</v>
      </c>
      <c r="H10" s="46">
        <f>H89</f>
        <v>0</v>
      </c>
    </row>
    <row r="11" spans="1:8">
      <c r="B11" s="6" t="s">
        <v>57</v>
      </c>
      <c r="D11" s="46"/>
      <c r="E11" s="46"/>
      <c r="F11" s="46"/>
      <c r="G11" s="46"/>
      <c r="H11" s="46"/>
    </row>
    <row r="12" spans="1:8">
      <c r="B12" s="6" t="s">
        <v>57</v>
      </c>
      <c r="D12" s="46"/>
      <c r="E12" s="46"/>
      <c r="F12" s="46"/>
      <c r="G12" s="46"/>
      <c r="H12" s="46"/>
    </row>
    <row r="13" spans="1:8">
      <c r="B13" s="6" t="s">
        <v>13</v>
      </c>
      <c r="D13" s="46">
        <f>D137</f>
        <v>-31041489.962198969</v>
      </c>
      <c r="E13" s="46">
        <f>E137</f>
        <v>-31041489.962198969</v>
      </c>
      <c r="F13" s="46">
        <f>F137</f>
        <v>-31041489.962198969</v>
      </c>
      <c r="G13" s="46">
        <f>G137</f>
        <v>-31041489.962198969</v>
      </c>
      <c r="H13" s="46">
        <f>H137</f>
        <v>-31041489.962198969</v>
      </c>
    </row>
    <row r="14" spans="1:8">
      <c r="B14" s="6" t="s">
        <v>118</v>
      </c>
      <c r="D14" s="30">
        <f>D161</f>
        <v>1052804884.5791311</v>
      </c>
      <c r="E14" s="30">
        <f>E161</f>
        <v>1021763394.6169322</v>
      </c>
      <c r="F14" s="30">
        <f>F161</f>
        <v>990721904.65473318</v>
      </c>
      <c r="G14" s="30">
        <f>G161</f>
        <v>959680414.69253421</v>
      </c>
      <c r="H14" s="30">
        <f>H161</f>
        <v>928638924.73033524</v>
      </c>
    </row>
    <row r="15" spans="1:8">
      <c r="D15" s="30"/>
      <c r="E15" s="30"/>
      <c r="F15" s="30"/>
      <c r="G15" s="30"/>
      <c r="H15" s="30"/>
    </row>
    <row r="16" spans="1:8" ht="15.75">
      <c r="B16" s="10" t="s">
        <v>122</v>
      </c>
      <c r="D16" s="30">
        <f>D9</f>
        <v>1083846374.5413301</v>
      </c>
      <c r="E16" s="30">
        <f t="shared" ref="E16:H16" si="0">E9</f>
        <v>1052804884.5791311</v>
      </c>
      <c r="F16" s="30">
        <f t="shared" si="0"/>
        <v>1021763394.6169322</v>
      </c>
      <c r="G16" s="30">
        <f t="shared" si="0"/>
        <v>990721904.65473318</v>
      </c>
      <c r="H16" s="30">
        <f t="shared" si="0"/>
        <v>959680414.69253421</v>
      </c>
    </row>
    <row r="17" spans="2:8">
      <c r="B17" s="68"/>
      <c r="D17" s="30"/>
      <c r="E17" s="30"/>
      <c r="F17" s="30"/>
      <c r="G17" s="30"/>
      <c r="H17" s="30"/>
    </row>
    <row r="18" spans="2:8">
      <c r="B18" s="69" t="s">
        <v>120</v>
      </c>
      <c r="C18" s="12"/>
      <c r="D18" s="13">
        <f>SUM(D9:D13)-D14</f>
        <v>0</v>
      </c>
      <c r="E18" s="13">
        <f>SUM(E9:E13)-E14</f>
        <v>0</v>
      </c>
      <c r="F18" s="13">
        <f>SUM(F9:F13)-F14</f>
        <v>0</v>
      </c>
      <c r="G18" s="13">
        <f>SUM(G9:G13)-G14</f>
        <v>0</v>
      </c>
      <c r="H18" s="13">
        <f>SUM(H9:H13)-H14</f>
        <v>0</v>
      </c>
    </row>
    <row r="19" spans="2:8">
      <c r="D19" s="30"/>
      <c r="E19" s="30"/>
      <c r="F19" s="30"/>
      <c r="G19" s="30"/>
      <c r="H19" s="30"/>
    </row>
    <row r="20" spans="2:8" ht="15.75">
      <c r="B20" s="10" t="s">
        <v>61</v>
      </c>
      <c r="D20" s="30"/>
      <c r="E20" s="30"/>
      <c r="F20" s="30"/>
      <c r="G20" s="30"/>
      <c r="H20" s="30"/>
    </row>
    <row r="21" spans="2:8" ht="15.75">
      <c r="B21" s="10" t="s">
        <v>48</v>
      </c>
      <c r="D21" s="30"/>
      <c r="E21" s="30"/>
      <c r="F21" s="30"/>
      <c r="G21" s="30"/>
      <c r="H21" s="30"/>
    </row>
    <row r="22" spans="2:8">
      <c r="B22" s="2" t="str">
        <f>'10. Water-Existing Assets Input'!B6</f>
        <v>Water Assets (excluding Water Security)</v>
      </c>
      <c r="D22" s="30">
        <f>'10. Water-Existing Assets Input'!F6</f>
        <v>34.916055120459518</v>
      </c>
      <c r="E22" s="30">
        <f t="shared" ref="E22:H41" si="1">IF(D22&gt;=1,IF(D68,0,D22-1),0)</f>
        <v>33.916055120459518</v>
      </c>
      <c r="F22" s="30">
        <f t="shared" si="1"/>
        <v>32.916055120459518</v>
      </c>
      <c r="G22" s="30">
        <f t="shared" si="1"/>
        <v>31.916055120459518</v>
      </c>
      <c r="H22" s="30">
        <f t="shared" si="1"/>
        <v>30.916055120459518</v>
      </c>
    </row>
    <row r="23" spans="2:8">
      <c r="B23" s="2" t="str">
        <f>'10. Water-Existing Assets Input'!B7</f>
        <v>801410 ECD-Dams &amp; Weirs</v>
      </c>
      <c r="D23" s="30">
        <f>'10. Water-Existing Assets Input'!F7</f>
        <v>0</v>
      </c>
      <c r="E23" s="30">
        <f t="shared" si="1"/>
        <v>0</v>
      </c>
      <c r="F23" s="30">
        <f t="shared" si="1"/>
        <v>0</v>
      </c>
      <c r="G23" s="30">
        <f t="shared" si="1"/>
        <v>0</v>
      </c>
      <c r="H23" s="30">
        <f t="shared" si="1"/>
        <v>0</v>
      </c>
    </row>
    <row r="24" spans="2:8">
      <c r="B24" s="2" t="str">
        <f>'10. Water-Existing Assets Input'!B8</f>
        <v>801410 ECD-Dams or Weirs intake structures</v>
      </c>
      <c r="D24" s="30">
        <f>'10. Water-Existing Assets Input'!F8</f>
        <v>0</v>
      </c>
      <c r="E24" s="30">
        <f t="shared" si="1"/>
        <v>0</v>
      </c>
      <c r="F24" s="30">
        <f t="shared" si="1"/>
        <v>0</v>
      </c>
      <c r="G24" s="30">
        <f t="shared" si="1"/>
        <v>0</v>
      </c>
      <c r="H24" s="30">
        <f t="shared" si="1"/>
        <v>0</v>
      </c>
    </row>
    <row r="25" spans="2:8">
      <c r="B25" s="2" t="str">
        <f>'10. Water-Existing Assets Input'!B9</f>
        <v>801410 ECD-Valves</v>
      </c>
      <c r="D25" s="30">
        <f>'10. Water-Existing Assets Input'!F9</f>
        <v>0</v>
      </c>
      <c r="E25" s="30">
        <f t="shared" si="1"/>
        <v>0</v>
      </c>
      <c r="F25" s="30">
        <f t="shared" si="1"/>
        <v>0</v>
      </c>
      <c r="G25" s="30">
        <f t="shared" si="1"/>
        <v>0</v>
      </c>
      <c r="H25" s="30">
        <f t="shared" si="1"/>
        <v>0</v>
      </c>
    </row>
    <row r="26" spans="2:8">
      <c r="B26" s="2" t="str">
        <f>'10. Water-Existing Assets Input'!B10</f>
        <v>801410 ECD-Flow Meters</v>
      </c>
      <c r="D26" s="30">
        <f>'10. Water-Existing Assets Input'!F10</f>
        <v>0</v>
      </c>
      <c r="E26" s="30">
        <f t="shared" si="1"/>
        <v>0</v>
      </c>
      <c r="F26" s="30">
        <f t="shared" si="1"/>
        <v>0</v>
      </c>
      <c r="G26" s="30">
        <f t="shared" si="1"/>
        <v>0</v>
      </c>
      <c r="H26" s="30">
        <f t="shared" si="1"/>
        <v>0</v>
      </c>
    </row>
    <row r="27" spans="2:8">
      <c r="B27" s="2" t="str">
        <f>'10. Water-Existing Assets Input'!B11</f>
        <v>801410 ECD-Pressure sensors, transmitters and meters</v>
      </c>
      <c r="D27" s="30">
        <f>'10. Water-Existing Assets Input'!F11</f>
        <v>0</v>
      </c>
      <c r="E27" s="30">
        <f t="shared" si="1"/>
        <v>0</v>
      </c>
      <c r="F27" s="30">
        <f t="shared" si="1"/>
        <v>0</v>
      </c>
      <c r="G27" s="30">
        <f t="shared" si="1"/>
        <v>0</v>
      </c>
      <c r="H27" s="30">
        <f t="shared" si="1"/>
        <v>0</v>
      </c>
    </row>
    <row r="28" spans="2:8">
      <c r="B28" s="2" t="str">
        <f>'10. Water-Existing Assets Input'!B12</f>
        <v>801416 ECD-Dams &amp; Weirs</v>
      </c>
      <c r="D28" s="30">
        <f>'10. Water-Existing Assets Input'!F12</f>
        <v>0</v>
      </c>
      <c r="E28" s="30">
        <f t="shared" si="1"/>
        <v>0</v>
      </c>
      <c r="F28" s="30">
        <f t="shared" si="1"/>
        <v>0</v>
      </c>
      <c r="G28" s="30">
        <f t="shared" si="1"/>
        <v>0</v>
      </c>
      <c r="H28" s="30">
        <f t="shared" si="1"/>
        <v>0</v>
      </c>
    </row>
    <row r="29" spans="2:8">
      <c r="B29" s="2" t="str">
        <f>'10. Water-Existing Assets Input'!B13</f>
        <v>801416 ECD-Dams or Weir intake structures</v>
      </c>
      <c r="D29" s="30">
        <f>'10. Water-Existing Assets Input'!F13</f>
        <v>0</v>
      </c>
      <c r="E29" s="30">
        <f t="shared" si="1"/>
        <v>0</v>
      </c>
      <c r="F29" s="30">
        <f t="shared" si="1"/>
        <v>0</v>
      </c>
      <c r="G29" s="30">
        <f t="shared" si="1"/>
        <v>0</v>
      </c>
      <c r="H29" s="30">
        <f t="shared" si="1"/>
        <v>0</v>
      </c>
    </row>
    <row r="30" spans="2:8">
      <c r="B30" s="2" t="str">
        <f>'10. Water-Existing Assets Input'!B14</f>
        <v>801416 ECD-Valves</v>
      </c>
      <c r="D30" s="30">
        <f>'10. Water-Existing Assets Input'!F14</f>
        <v>0</v>
      </c>
      <c r="E30" s="30">
        <f t="shared" si="1"/>
        <v>0</v>
      </c>
      <c r="F30" s="30">
        <f t="shared" si="1"/>
        <v>0</v>
      </c>
      <c r="G30" s="30">
        <f t="shared" si="1"/>
        <v>0</v>
      </c>
      <c r="H30" s="30">
        <f t="shared" si="1"/>
        <v>0</v>
      </c>
    </row>
    <row r="31" spans="2:8">
      <c r="B31" s="2" t="str">
        <f>'10. Water-Existing Assets Input'!B15</f>
        <v>801416 ECD-Flow Meters</v>
      </c>
      <c r="D31" s="30">
        <f>'10. Water-Existing Assets Input'!F15</f>
        <v>0</v>
      </c>
      <c r="E31" s="30">
        <f t="shared" si="1"/>
        <v>0</v>
      </c>
      <c r="F31" s="30">
        <f t="shared" si="1"/>
        <v>0</v>
      </c>
      <c r="G31" s="30">
        <f t="shared" si="1"/>
        <v>0</v>
      </c>
      <c r="H31" s="30">
        <f t="shared" si="1"/>
        <v>0</v>
      </c>
    </row>
    <row r="32" spans="2:8">
      <c r="B32" s="2" t="str">
        <f>'10. Water-Existing Assets Input'!B16</f>
        <v>801416 ECD-Pressure sensors, transmitters and meters</v>
      </c>
      <c r="D32" s="30">
        <f>'10. Water-Existing Assets Input'!F16</f>
        <v>0</v>
      </c>
      <c r="E32" s="30">
        <f t="shared" si="1"/>
        <v>0</v>
      </c>
      <c r="F32" s="30">
        <f t="shared" si="1"/>
        <v>0</v>
      </c>
      <c r="G32" s="30">
        <f t="shared" si="1"/>
        <v>0</v>
      </c>
      <c r="H32" s="30">
        <f t="shared" si="1"/>
        <v>0</v>
      </c>
    </row>
    <row r="33" spans="2:8">
      <c r="B33" s="2" t="str">
        <f>'10. Water-Existing Assets Input'!B17</f>
        <v>801411 M2G-Cathodic protections systems</v>
      </c>
      <c r="D33" s="30">
        <f>'10. Water-Existing Assets Input'!F17</f>
        <v>0</v>
      </c>
      <c r="E33" s="30">
        <f t="shared" si="1"/>
        <v>0</v>
      </c>
      <c r="F33" s="30">
        <f t="shared" si="1"/>
        <v>0</v>
      </c>
      <c r="G33" s="30">
        <f t="shared" si="1"/>
        <v>0</v>
      </c>
      <c r="H33" s="30">
        <f t="shared" si="1"/>
        <v>0</v>
      </c>
    </row>
    <row r="34" spans="2:8">
      <c r="B34" s="2" t="str">
        <f>'10. Water-Existing Assets Input'!B18</f>
        <v>801411 M2G-Valves (Bulk)</v>
      </c>
      <c r="D34" s="30">
        <f>'10. Water-Existing Assets Input'!F18</f>
        <v>0</v>
      </c>
      <c r="E34" s="30">
        <f t="shared" si="1"/>
        <v>0</v>
      </c>
      <c r="F34" s="30">
        <f t="shared" si="1"/>
        <v>0</v>
      </c>
      <c r="G34" s="30">
        <f t="shared" si="1"/>
        <v>0</v>
      </c>
      <c r="H34" s="30">
        <f t="shared" si="1"/>
        <v>0</v>
      </c>
    </row>
    <row r="35" spans="2:8">
      <c r="B35" s="2" t="str">
        <f>'10. Water-Existing Assets Input'!B19</f>
        <v>801411 M2G-Valves (Pump)</v>
      </c>
      <c r="D35" s="30">
        <f>'10. Water-Existing Assets Input'!F19</f>
        <v>0</v>
      </c>
      <c r="E35" s="30">
        <f t="shared" si="1"/>
        <v>0</v>
      </c>
      <c r="F35" s="30">
        <f t="shared" si="1"/>
        <v>0</v>
      </c>
      <c r="G35" s="30">
        <f t="shared" si="1"/>
        <v>0</v>
      </c>
      <c r="H35" s="30">
        <f t="shared" si="1"/>
        <v>0</v>
      </c>
    </row>
    <row r="36" spans="2:8">
      <c r="B36" s="2" t="str">
        <f>'10. Water-Existing Assets Input'!B20</f>
        <v>801411 M2G-Flow Meters (Bulk)</v>
      </c>
      <c r="D36" s="30">
        <f>'10. Water-Existing Assets Input'!F20</f>
        <v>0</v>
      </c>
      <c r="E36" s="30">
        <f t="shared" si="1"/>
        <v>0</v>
      </c>
      <c r="F36" s="30">
        <f t="shared" si="1"/>
        <v>0</v>
      </c>
      <c r="G36" s="30">
        <f t="shared" si="1"/>
        <v>0</v>
      </c>
      <c r="H36" s="30">
        <f t="shared" si="1"/>
        <v>0</v>
      </c>
    </row>
    <row r="37" spans="2:8">
      <c r="B37" s="2" t="str">
        <f>'10. Water-Existing Assets Input'!B21</f>
        <v>801411 M2G-Flow Meters (Pump)</v>
      </c>
      <c r="D37" s="30">
        <f>'10. Water-Existing Assets Input'!F21</f>
        <v>0</v>
      </c>
      <c r="E37" s="30">
        <f t="shared" si="1"/>
        <v>0</v>
      </c>
      <c r="F37" s="30">
        <f t="shared" si="1"/>
        <v>0</v>
      </c>
      <c r="G37" s="30">
        <f t="shared" si="1"/>
        <v>0</v>
      </c>
      <c r="H37" s="30">
        <f t="shared" si="1"/>
        <v>0</v>
      </c>
    </row>
    <row r="38" spans="2:8">
      <c r="B38" s="2" t="str">
        <f>'10. Water-Existing Assets Input'!B22</f>
        <v>801411 M2G-Water Mains (Bulk)</v>
      </c>
      <c r="D38" s="30">
        <f>'10. Water-Existing Assets Input'!F22</f>
        <v>0</v>
      </c>
      <c r="E38" s="30">
        <f t="shared" si="1"/>
        <v>0</v>
      </c>
      <c r="F38" s="30">
        <f t="shared" si="1"/>
        <v>0</v>
      </c>
      <c r="G38" s="30">
        <f t="shared" si="1"/>
        <v>0</v>
      </c>
      <c r="H38" s="30">
        <f t="shared" si="1"/>
        <v>0</v>
      </c>
    </row>
    <row r="39" spans="2:8">
      <c r="B39" s="2" t="str">
        <f>'10. Water-Existing Assets Input'!B23</f>
        <v>801411 M2G-Water Mains (Pump)</v>
      </c>
      <c r="D39" s="30">
        <f>'10. Water-Existing Assets Input'!F23</f>
        <v>0</v>
      </c>
      <c r="E39" s="30">
        <f t="shared" si="1"/>
        <v>0</v>
      </c>
      <c r="F39" s="30">
        <f t="shared" si="1"/>
        <v>0</v>
      </c>
      <c r="G39" s="30">
        <f t="shared" si="1"/>
        <v>0</v>
      </c>
      <c r="H39" s="30">
        <f t="shared" si="1"/>
        <v>0</v>
      </c>
    </row>
    <row r="40" spans="2:8">
      <c r="B40" s="2" t="str">
        <f>'10. Water-Existing Assets Input'!B24</f>
        <v>801411 M2G-Telemetry (Pump)</v>
      </c>
      <c r="D40" s="30">
        <f>'10. Water-Existing Assets Input'!F24</f>
        <v>0</v>
      </c>
      <c r="E40" s="30">
        <f t="shared" si="1"/>
        <v>0</v>
      </c>
      <c r="F40" s="30">
        <f t="shared" si="1"/>
        <v>0</v>
      </c>
      <c r="G40" s="30">
        <f t="shared" si="1"/>
        <v>0</v>
      </c>
      <c r="H40" s="30">
        <f t="shared" si="1"/>
        <v>0</v>
      </c>
    </row>
    <row r="41" spans="2:8">
      <c r="B41" s="2" t="str">
        <f>'10. Water-Existing Assets Input'!B25</f>
        <v>801411 M2G-Pump Sets (Pump)</v>
      </c>
      <c r="D41" s="30">
        <f>'10. Water-Existing Assets Input'!F25</f>
        <v>0</v>
      </c>
      <c r="E41" s="30">
        <f t="shared" si="1"/>
        <v>0</v>
      </c>
      <c r="F41" s="30">
        <f t="shared" si="1"/>
        <v>0</v>
      </c>
      <c r="G41" s="30">
        <f t="shared" si="1"/>
        <v>0</v>
      </c>
      <c r="H41" s="30">
        <f t="shared" si="1"/>
        <v>0</v>
      </c>
    </row>
    <row r="42" spans="2:8">
      <c r="D42" s="30"/>
      <c r="E42" s="30"/>
      <c r="F42" s="30"/>
      <c r="G42" s="30"/>
      <c r="H42" s="30"/>
    </row>
    <row r="43" spans="2:8" ht="15.75">
      <c r="B43" s="10" t="s">
        <v>116</v>
      </c>
      <c r="D43" s="30"/>
      <c r="E43" s="30"/>
      <c r="F43" s="30"/>
      <c r="G43" s="30"/>
      <c r="H43" s="30"/>
    </row>
    <row r="44" spans="2:8">
      <c r="B44" s="2" t="str">
        <f>B22</f>
        <v>Water Assets (excluding Water Security)</v>
      </c>
      <c r="D44" s="30">
        <f>IF('10. Water-Existing Assets Input'!H6,'10. Water-Existing Assets Input'!E6,0)</f>
        <v>1083846374.5413301</v>
      </c>
      <c r="E44" s="30">
        <f>D140</f>
        <v>1052804884.5791311</v>
      </c>
      <c r="F44" s="30">
        <f t="shared" ref="F44:H44" si="2">E140</f>
        <v>1021763394.6169322</v>
      </c>
      <c r="G44" s="30">
        <f t="shared" si="2"/>
        <v>990721904.65473318</v>
      </c>
      <c r="H44" s="30">
        <f t="shared" si="2"/>
        <v>959680414.69253421</v>
      </c>
    </row>
    <row r="45" spans="2:8">
      <c r="B45" s="2" t="str">
        <f t="shared" ref="B45:B63" si="3">B23</f>
        <v>801410 ECD-Dams &amp; Weirs</v>
      </c>
      <c r="D45" s="30">
        <f>IF('10. Water-Existing Assets Input'!H7,'10. Water-Existing Assets Input'!E7,0)</f>
        <v>0</v>
      </c>
      <c r="E45" s="30">
        <f t="shared" ref="E45:E63" si="4">D141</f>
        <v>0</v>
      </c>
      <c r="F45" s="30">
        <f t="shared" ref="F45:F63" si="5">E141</f>
        <v>0</v>
      </c>
      <c r="G45" s="30">
        <f t="shared" ref="G45:G63" si="6">F141</f>
        <v>0</v>
      </c>
      <c r="H45" s="30">
        <f t="shared" ref="H45:H63" si="7">G141</f>
        <v>0</v>
      </c>
    </row>
    <row r="46" spans="2:8">
      <c r="B46" s="2" t="str">
        <f t="shared" si="3"/>
        <v>801410 ECD-Dams or Weirs intake structures</v>
      </c>
      <c r="D46" s="30">
        <f>IF('10. Water-Existing Assets Input'!H8,'10. Water-Existing Assets Input'!E8,0)</f>
        <v>0</v>
      </c>
      <c r="E46" s="30">
        <f t="shared" si="4"/>
        <v>0</v>
      </c>
      <c r="F46" s="30">
        <f t="shared" si="5"/>
        <v>0</v>
      </c>
      <c r="G46" s="30">
        <f t="shared" si="6"/>
        <v>0</v>
      </c>
      <c r="H46" s="30">
        <f t="shared" si="7"/>
        <v>0</v>
      </c>
    </row>
    <row r="47" spans="2:8">
      <c r="B47" s="2" t="str">
        <f t="shared" si="3"/>
        <v>801410 ECD-Valves</v>
      </c>
      <c r="D47" s="30">
        <f>IF('10. Water-Existing Assets Input'!H9,'10. Water-Existing Assets Input'!E9,0)</f>
        <v>0</v>
      </c>
      <c r="E47" s="30">
        <f t="shared" si="4"/>
        <v>0</v>
      </c>
      <c r="F47" s="30">
        <f t="shared" si="5"/>
        <v>0</v>
      </c>
      <c r="G47" s="30">
        <f t="shared" si="6"/>
        <v>0</v>
      </c>
      <c r="H47" s="30">
        <f t="shared" si="7"/>
        <v>0</v>
      </c>
    </row>
    <row r="48" spans="2:8">
      <c r="B48" s="2" t="str">
        <f t="shared" si="3"/>
        <v>801410 ECD-Flow Meters</v>
      </c>
      <c r="D48" s="30">
        <f>IF('10. Water-Existing Assets Input'!H10,'10. Water-Existing Assets Input'!E10,0)</f>
        <v>0</v>
      </c>
      <c r="E48" s="30">
        <f t="shared" si="4"/>
        <v>0</v>
      </c>
      <c r="F48" s="30">
        <f t="shared" si="5"/>
        <v>0</v>
      </c>
      <c r="G48" s="30">
        <f t="shared" si="6"/>
        <v>0</v>
      </c>
      <c r="H48" s="30">
        <f t="shared" si="7"/>
        <v>0</v>
      </c>
    </row>
    <row r="49" spans="2:8">
      <c r="B49" s="2" t="str">
        <f t="shared" si="3"/>
        <v>801410 ECD-Pressure sensors, transmitters and meters</v>
      </c>
      <c r="D49" s="30">
        <f>IF('10. Water-Existing Assets Input'!H11,'10. Water-Existing Assets Input'!E11,0)</f>
        <v>0</v>
      </c>
      <c r="E49" s="30">
        <f t="shared" si="4"/>
        <v>0</v>
      </c>
      <c r="F49" s="30">
        <f t="shared" si="5"/>
        <v>0</v>
      </c>
      <c r="G49" s="30">
        <f t="shared" si="6"/>
        <v>0</v>
      </c>
      <c r="H49" s="30">
        <f t="shared" si="7"/>
        <v>0</v>
      </c>
    </row>
    <row r="50" spans="2:8">
      <c r="B50" s="2" t="str">
        <f t="shared" si="3"/>
        <v>801416 ECD-Dams &amp; Weirs</v>
      </c>
      <c r="D50" s="30">
        <f>IF('10. Water-Existing Assets Input'!H12,'10. Water-Existing Assets Input'!E12,0)</f>
        <v>0</v>
      </c>
      <c r="E50" s="30">
        <f t="shared" si="4"/>
        <v>0</v>
      </c>
      <c r="F50" s="30">
        <f t="shared" si="5"/>
        <v>0</v>
      </c>
      <c r="G50" s="30">
        <f t="shared" si="6"/>
        <v>0</v>
      </c>
      <c r="H50" s="30">
        <f t="shared" si="7"/>
        <v>0</v>
      </c>
    </row>
    <row r="51" spans="2:8">
      <c r="B51" s="2" t="str">
        <f t="shared" si="3"/>
        <v>801416 ECD-Dams or Weir intake structures</v>
      </c>
      <c r="D51" s="30">
        <f>IF('10. Water-Existing Assets Input'!H13,'10. Water-Existing Assets Input'!E13,0)</f>
        <v>0</v>
      </c>
      <c r="E51" s="30">
        <f t="shared" si="4"/>
        <v>0</v>
      </c>
      <c r="F51" s="30">
        <f t="shared" si="5"/>
        <v>0</v>
      </c>
      <c r="G51" s="30">
        <f t="shared" si="6"/>
        <v>0</v>
      </c>
      <c r="H51" s="30">
        <f t="shared" si="7"/>
        <v>0</v>
      </c>
    </row>
    <row r="52" spans="2:8">
      <c r="B52" s="2" t="str">
        <f t="shared" si="3"/>
        <v>801416 ECD-Valves</v>
      </c>
      <c r="D52" s="30">
        <f>IF('10. Water-Existing Assets Input'!H14,'10. Water-Existing Assets Input'!E14,0)</f>
        <v>0</v>
      </c>
      <c r="E52" s="30">
        <f t="shared" si="4"/>
        <v>0</v>
      </c>
      <c r="F52" s="30">
        <f t="shared" si="5"/>
        <v>0</v>
      </c>
      <c r="G52" s="30">
        <f t="shared" si="6"/>
        <v>0</v>
      </c>
      <c r="H52" s="30">
        <f t="shared" si="7"/>
        <v>0</v>
      </c>
    </row>
    <row r="53" spans="2:8">
      <c r="B53" s="2" t="str">
        <f t="shared" si="3"/>
        <v>801416 ECD-Flow Meters</v>
      </c>
      <c r="D53" s="30">
        <f>IF('10. Water-Existing Assets Input'!H15,'10. Water-Existing Assets Input'!E15,0)</f>
        <v>0</v>
      </c>
      <c r="E53" s="30">
        <f t="shared" si="4"/>
        <v>0</v>
      </c>
      <c r="F53" s="30">
        <f t="shared" si="5"/>
        <v>0</v>
      </c>
      <c r="G53" s="30">
        <f t="shared" si="6"/>
        <v>0</v>
      </c>
      <c r="H53" s="30">
        <f t="shared" si="7"/>
        <v>0</v>
      </c>
    </row>
    <row r="54" spans="2:8">
      <c r="B54" s="2" t="str">
        <f t="shared" si="3"/>
        <v>801416 ECD-Pressure sensors, transmitters and meters</v>
      </c>
      <c r="D54" s="30">
        <f>IF('10. Water-Existing Assets Input'!H16,'10. Water-Existing Assets Input'!E16,0)</f>
        <v>0</v>
      </c>
      <c r="E54" s="30">
        <f t="shared" si="4"/>
        <v>0</v>
      </c>
      <c r="F54" s="30">
        <f t="shared" si="5"/>
        <v>0</v>
      </c>
      <c r="G54" s="30">
        <f t="shared" si="6"/>
        <v>0</v>
      </c>
      <c r="H54" s="30">
        <f t="shared" si="7"/>
        <v>0</v>
      </c>
    </row>
    <row r="55" spans="2:8">
      <c r="B55" s="2" t="str">
        <f t="shared" si="3"/>
        <v>801411 M2G-Cathodic protections systems</v>
      </c>
      <c r="D55" s="30">
        <f>IF('10. Water-Existing Assets Input'!H17,'10. Water-Existing Assets Input'!E17,0)</f>
        <v>0</v>
      </c>
      <c r="E55" s="30">
        <f t="shared" si="4"/>
        <v>0</v>
      </c>
      <c r="F55" s="30">
        <f t="shared" si="5"/>
        <v>0</v>
      </c>
      <c r="G55" s="30">
        <f t="shared" si="6"/>
        <v>0</v>
      </c>
      <c r="H55" s="30">
        <f t="shared" si="7"/>
        <v>0</v>
      </c>
    </row>
    <row r="56" spans="2:8">
      <c r="B56" s="2" t="str">
        <f t="shared" si="3"/>
        <v>801411 M2G-Valves (Bulk)</v>
      </c>
      <c r="D56" s="30">
        <f>IF('10. Water-Existing Assets Input'!H18,'10. Water-Existing Assets Input'!E18,0)</f>
        <v>0</v>
      </c>
      <c r="E56" s="30">
        <f t="shared" si="4"/>
        <v>0</v>
      </c>
      <c r="F56" s="30">
        <f t="shared" si="5"/>
        <v>0</v>
      </c>
      <c r="G56" s="30">
        <f t="shared" si="6"/>
        <v>0</v>
      </c>
      <c r="H56" s="30">
        <f t="shared" si="7"/>
        <v>0</v>
      </c>
    </row>
    <row r="57" spans="2:8">
      <c r="B57" s="2" t="str">
        <f t="shared" si="3"/>
        <v>801411 M2G-Valves (Pump)</v>
      </c>
      <c r="D57" s="30">
        <f>IF('10. Water-Existing Assets Input'!H19,'10. Water-Existing Assets Input'!E19,0)</f>
        <v>0</v>
      </c>
      <c r="E57" s="30">
        <f t="shared" si="4"/>
        <v>0</v>
      </c>
      <c r="F57" s="30">
        <f t="shared" si="5"/>
        <v>0</v>
      </c>
      <c r="G57" s="30">
        <f t="shared" si="6"/>
        <v>0</v>
      </c>
      <c r="H57" s="30">
        <f t="shared" si="7"/>
        <v>0</v>
      </c>
    </row>
    <row r="58" spans="2:8">
      <c r="B58" s="2" t="str">
        <f t="shared" si="3"/>
        <v>801411 M2G-Flow Meters (Bulk)</v>
      </c>
      <c r="D58" s="30">
        <f>IF('10. Water-Existing Assets Input'!H20,'10. Water-Existing Assets Input'!E20,0)</f>
        <v>0</v>
      </c>
      <c r="E58" s="30">
        <f t="shared" si="4"/>
        <v>0</v>
      </c>
      <c r="F58" s="30">
        <f t="shared" si="5"/>
        <v>0</v>
      </c>
      <c r="G58" s="30">
        <f t="shared" si="6"/>
        <v>0</v>
      </c>
      <c r="H58" s="30">
        <f t="shared" si="7"/>
        <v>0</v>
      </c>
    </row>
    <row r="59" spans="2:8">
      <c r="B59" s="2" t="str">
        <f t="shared" si="3"/>
        <v>801411 M2G-Flow Meters (Pump)</v>
      </c>
      <c r="D59" s="30">
        <f>IF('10. Water-Existing Assets Input'!H21,'10. Water-Existing Assets Input'!E21,0)</f>
        <v>0</v>
      </c>
      <c r="E59" s="30">
        <f t="shared" si="4"/>
        <v>0</v>
      </c>
      <c r="F59" s="30">
        <f t="shared" si="5"/>
        <v>0</v>
      </c>
      <c r="G59" s="30">
        <f t="shared" si="6"/>
        <v>0</v>
      </c>
      <c r="H59" s="30">
        <f t="shared" si="7"/>
        <v>0</v>
      </c>
    </row>
    <row r="60" spans="2:8">
      <c r="B60" s="2" t="str">
        <f t="shared" si="3"/>
        <v>801411 M2G-Water Mains (Bulk)</v>
      </c>
      <c r="D60" s="30">
        <f>IF('10. Water-Existing Assets Input'!H22,'10. Water-Existing Assets Input'!E22,0)</f>
        <v>0</v>
      </c>
      <c r="E60" s="30">
        <f t="shared" si="4"/>
        <v>0</v>
      </c>
      <c r="F60" s="30">
        <f t="shared" si="5"/>
        <v>0</v>
      </c>
      <c r="G60" s="30">
        <f t="shared" si="6"/>
        <v>0</v>
      </c>
      <c r="H60" s="30">
        <f t="shared" si="7"/>
        <v>0</v>
      </c>
    </row>
    <row r="61" spans="2:8">
      <c r="B61" s="2" t="str">
        <f t="shared" si="3"/>
        <v>801411 M2G-Water Mains (Pump)</v>
      </c>
      <c r="D61" s="30">
        <f>IF('10. Water-Existing Assets Input'!H23,'10. Water-Existing Assets Input'!E23,0)</f>
        <v>0</v>
      </c>
      <c r="E61" s="30">
        <f t="shared" si="4"/>
        <v>0</v>
      </c>
      <c r="F61" s="30">
        <f t="shared" si="5"/>
        <v>0</v>
      </c>
      <c r="G61" s="30">
        <f t="shared" si="6"/>
        <v>0</v>
      </c>
      <c r="H61" s="30">
        <f t="shared" si="7"/>
        <v>0</v>
      </c>
    </row>
    <row r="62" spans="2:8">
      <c r="B62" s="2" t="str">
        <f t="shared" si="3"/>
        <v>801411 M2G-Telemetry (Pump)</v>
      </c>
      <c r="D62" s="30">
        <f>IF('10. Water-Existing Assets Input'!H24,'10. Water-Existing Assets Input'!E24,0)</f>
        <v>0</v>
      </c>
      <c r="E62" s="30">
        <f t="shared" si="4"/>
        <v>0</v>
      </c>
      <c r="F62" s="30">
        <f t="shared" si="5"/>
        <v>0</v>
      </c>
      <c r="G62" s="30">
        <f t="shared" si="6"/>
        <v>0</v>
      </c>
      <c r="H62" s="30">
        <f t="shared" si="7"/>
        <v>0</v>
      </c>
    </row>
    <row r="63" spans="2:8">
      <c r="B63" s="2" t="str">
        <f t="shared" si="3"/>
        <v>801411 M2G-Pump Sets (Pump)</v>
      </c>
      <c r="D63" s="30">
        <f>IF('10. Water-Existing Assets Input'!H25,'10. Water-Existing Assets Input'!E25,0)</f>
        <v>0</v>
      </c>
      <c r="E63" s="30">
        <f t="shared" si="4"/>
        <v>0</v>
      </c>
      <c r="F63" s="30">
        <f t="shared" si="5"/>
        <v>0</v>
      </c>
      <c r="G63" s="30">
        <f t="shared" si="6"/>
        <v>0</v>
      </c>
      <c r="H63" s="30">
        <f t="shared" si="7"/>
        <v>0</v>
      </c>
    </row>
    <row r="64" spans="2:8">
      <c r="D64" s="30"/>
      <c r="E64" s="30"/>
      <c r="F64" s="30"/>
      <c r="G64" s="30"/>
      <c r="H64" s="30"/>
    </row>
    <row r="65" spans="1:8">
      <c r="B65" s="2" t="s">
        <v>49</v>
      </c>
      <c r="D65" s="48">
        <f>SUM(D44:D64)</f>
        <v>1083846374.5413301</v>
      </c>
      <c r="E65" s="48">
        <f>SUM(E44:E64)</f>
        <v>1052804884.5791311</v>
      </c>
      <c r="F65" s="48">
        <f>SUM(F44:F64)</f>
        <v>1021763394.6169322</v>
      </c>
      <c r="G65" s="48">
        <f>SUM(G44:G64)</f>
        <v>990721904.65473318</v>
      </c>
      <c r="H65" s="48">
        <f>SUM(H44:H64)</f>
        <v>959680414.69253421</v>
      </c>
    </row>
    <row r="66" spans="1:8">
      <c r="D66" s="30"/>
      <c r="E66" s="30"/>
      <c r="F66" s="30"/>
      <c r="G66" s="30"/>
      <c r="H66" s="30"/>
    </row>
    <row r="67" spans="1:8" ht="15.75">
      <c r="A67" s="35">
        <f>'2. Notes and Assumptions'!B47</f>
        <v>24</v>
      </c>
      <c r="B67" s="10" t="s">
        <v>27</v>
      </c>
      <c r="D67" s="30"/>
      <c r="E67" s="30"/>
      <c r="F67" s="30"/>
      <c r="G67" s="30"/>
      <c r="H67" s="30"/>
    </row>
    <row r="68" spans="1:8">
      <c r="B68" s="2" t="str">
        <f>B44</f>
        <v>Water Assets (excluding Water Security)</v>
      </c>
      <c r="D68" s="30"/>
      <c r="E68" s="30"/>
      <c r="F68" s="30"/>
      <c r="G68" s="30"/>
      <c r="H68" s="30"/>
    </row>
    <row r="69" spans="1:8">
      <c r="B69" s="2" t="str">
        <f t="shared" ref="B69:B87" si="8">B45</f>
        <v>801410 ECD-Dams &amp; Weirs</v>
      </c>
      <c r="D69" s="30"/>
      <c r="E69" s="30"/>
      <c r="F69" s="30"/>
      <c r="G69" s="30"/>
      <c r="H69" s="30"/>
    </row>
    <row r="70" spans="1:8">
      <c r="B70" s="2" t="str">
        <f t="shared" si="8"/>
        <v>801410 ECD-Dams or Weirs intake structures</v>
      </c>
      <c r="D70" s="30"/>
      <c r="E70" s="30"/>
      <c r="F70" s="30"/>
      <c r="G70" s="30"/>
      <c r="H70" s="30"/>
    </row>
    <row r="71" spans="1:8">
      <c r="B71" s="2" t="str">
        <f t="shared" si="8"/>
        <v>801410 ECD-Valves</v>
      </c>
      <c r="D71" s="30"/>
      <c r="E71" s="30"/>
      <c r="F71" s="30"/>
      <c r="G71" s="30"/>
      <c r="H71" s="30"/>
    </row>
    <row r="72" spans="1:8">
      <c r="B72" s="2" t="str">
        <f t="shared" si="8"/>
        <v>801410 ECD-Flow Meters</v>
      </c>
      <c r="D72" s="30"/>
      <c r="E72" s="30"/>
      <c r="F72" s="30"/>
      <c r="G72" s="30"/>
      <c r="H72" s="30"/>
    </row>
    <row r="73" spans="1:8">
      <c r="B73" s="2" t="str">
        <f t="shared" si="8"/>
        <v>801410 ECD-Pressure sensors, transmitters and meters</v>
      </c>
      <c r="D73" s="30"/>
      <c r="E73" s="30"/>
      <c r="F73" s="30"/>
      <c r="G73" s="30"/>
      <c r="H73" s="30"/>
    </row>
    <row r="74" spans="1:8">
      <c r="B74" s="2" t="str">
        <f t="shared" si="8"/>
        <v>801416 ECD-Dams &amp; Weirs</v>
      </c>
      <c r="D74" s="30"/>
      <c r="E74" s="30"/>
      <c r="F74" s="30"/>
      <c r="G74" s="30"/>
      <c r="H74" s="30"/>
    </row>
    <row r="75" spans="1:8">
      <c r="B75" s="2" t="str">
        <f t="shared" si="8"/>
        <v>801416 ECD-Dams or Weir intake structures</v>
      </c>
      <c r="D75" s="30"/>
      <c r="E75" s="30"/>
      <c r="F75" s="30"/>
      <c r="G75" s="30"/>
      <c r="H75" s="30"/>
    </row>
    <row r="76" spans="1:8">
      <c r="B76" s="2" t="str">
        <f t="shared" si="8"/>
        <v>801416 ECD-Valves</v>
      </c>
      <c r="D76" s="30"/>
      <c r="E76" s="30"/>
      <c r="F76" s="30"/>
      <c r="G76" s="30"/>
      <c r="H76" s="30"/>
    </row>
    <row r="77" spans="1:8">
      <c r="B77" s="2" t="str">
        <f t="shared" si="8"/>
        <v>801416 ECD-Flow Meters</v>
      </c>
      <c r="D77" s="30"/>
      <c r="E77" s="30"/>
      <c r="F77" s="30"/>
      <c r="G77" s="30"/>
      <c r="H77" s="30"/>
    </row>
    <row r="78" spans="1:8">
      <c r="B78" s="2" t="str">
        <f t="shared" si="8"/>
        <v>801416 ECD-Pressure sensors, transmitters and meters</v>
      </c>
      <c r="D78" s="30"/>
      <c r="E78" s="30"/>
      <c r="F78" s="30"/>
      <c r="G78" s="30"/>
      <c r="H78" s="30"/>
    </row>
    <row r="79" spans="1:8">
      <c r="B79" s="2" t="str">
        <f t="shared" si="8"/>
        <v>801411 M2G-Cathodic protections systems</v>
      </c>
      <c r="D79" s="30"/>
      <c r="E79" s="30"/>
      <c r="F79" s="30"/>
      <c r="G79" s="30"/>
      <c r="H79" s="30"/>
    </row>
    <row r="80" spans="1:8">
      <c r="B80" s="2" t="str">
        <f t="shared" si="8"/>
        <v>801411 M2G-Valves (Bulk)</v>
      </c>
      <c r="D80" s="30"/>
      <c r="E80" s="30"/>
      <c r="F80" s="30"/>
      <c r="G80" s="30"/>
      <c r="H80" s="30"/>
    </row>
    <row r="81" spans="2:8">
      <c r="B81" s="2" t="str">
        <f t="shared" si="8"/>
        <v>801411 M2G-Valves (Pump)</v>
      </c>
      <c r="D81" s="30"/>
      <c r="E81" s="30"/>
      <c r="F81" s="30"/>
      <c r="G81" s="30"/>
      <c r="H81" s="30"/>
    </row>
    <row r="82" spans="2:8">
      <c r="B82" s="2" t="str">
        <f t="shared" si="8"/>
        <v>801411 M2G-Flow Meters (Bulk)</v>
      </c>
      <c r="D82" s="30"/>
      <c r="E82" s="30"/>
      <c r="F82" s="30"/>
      <c r="G82" s="30"/>
      <c r="H82" s="30"/>
    </row>
    <row r="83" spans="2:8">
      <c r="B83" s="2" t="str">
        <f t="shared" si="8"/>
        <v>801411 M2G-Flow Meters (Pump)</v>
      </c>
      <c r="D83" s="30"/>
      <c r="E83" s="30"/>
      <c r="F83" s="30"/>
      <c r="G83" s="30"/>
      <c r="H83" s="30"/>
    </row>
    <row r="84" spans="2:8">
      <c r="B84" s="2" t="str">
        <f t="shared" si="8"/>
        <v>801411 M2G-Water Mains (Bulk)</v>
      </c>
      <c r="D84" s="30"/>
      <c r="E84" s="30"/>
      <c r="F84" s="30"/>
      <c r="G84" s="30"/>
      <c r="H84" s="30"/>
    </row>
    <row r="85" spans="2:8">
      <c r="B85" s="2" t="str">
        <f t="shared" si="8"/>
        <v>801411 M2G-Water Mains (Pump)</v>
      </c>
      <c r="D85" s="30"/>
      <c r="E85" s="30"/>
      <c r="F85" s="30"/>
      <c r="G85" s="30"/>
      <c r="H85" s="30"/>
    </row>
    <row r="86" spans="2:8">
      <c r="B86" s="2" t="str">
        <f t="shared" si="8"/>
        <v>801411 M2G-Telemetry (Pump)</v>
      </c>
      <c r="D86" s="30"/>
      <c r="E86" s="30"/>
      <c r="F86" s="30"/>
      <c r="G86" s="30"/>
      <c r="H86" s="30"/>
    </row>
    <row r="87" spans="2:8">
      <c r="B87" s="2" t="str">
        <f t="shared" si="8"/>
        <v>801411 M2G-Pump Sets (Pump)</v>
      </c>
      <c r="D87" s="30"/>
      <c r="E87" s="30"/>
      <c r="F87" s="30"/>
      <c r="G87" s="30"/>
      <c r="H87" s="30"/>
    </row>
    <row r="88" spans="2:8">
      <c r="D88" s="30"/>
      <c r="E88" s="30"/>
      <c r="F88" s="30"/>
      <c r="G88" s="30"/>
      <c r="H88" s="30"/>
    </row>
    <row r="89" spans="2:8">
      <c r="B89" s="2" t="s">
        <v>49</v>
      </c>
      <c r="D89" s="48">
        <f>SUM(D68:D88)</f>
        <v>0</v>
      </c>
      <c r="E89" s="48">
        <f>SUM(E68:E88)</f>
        <v>0</v>
      </c>
      <c r="F89" s="48">
        <f>SUM(F68:F88)</f>
        <v>0</v>
      </c>
      <c r="G89" s="48">
        <f>SUM(G68:G88)</f>
        <v>0</v>
      </c>
      <c r="H89" s="48">
        <f>SUM(H68:H88)</f>
        <v>0</v>
      </c>
    </row>
    <row r="90" spans="2:8">
      <c r="D90" s="70"/>
      <c r="E90" s="70"/>
      <c r="F90" s="70"/>
      <c r="G90" s="70"/>
      <c r="H90" s="70"/>
    </row>
    <row r="91" spans="2:8" ht="15.75">
      <c r="B91" s="10" t="s">
        <v>12</v>
      </c>
      <c r="D91" s="30"/>
      <c r="E91" s="30"/>
      <c r="F91" s="30"/>
      <c r="G91" s="30"/>
      <c r="H91" s="30"/>
    </row>
    <row r="92" spans="2:8">
      <c r="B92" s="6" t="s">
        <v>57</v>
      </c>
      <c r="D92" s="30"/>
      <c r="E92" s="30"/>
      <c r="F92" s="30"/>
      <c r="G92" s="30"/>
      <c r="H92" s="30"/>
    </row>
    <row r="93" spans="2:8">
      <c r="B93" s="6" t="s">
        <v>57</v>
      </c>
      <c r="D93" s="30"/>
      <c r="E93" s="30"/>
      <c r="F93" s="30"/>
      <c r="G93" s="30"/>
      <c r="H93" s="30"/>
    </row>
    <row r="94" spans="2:8">
      <c r="B94" s="6" t="s">
        <v>57</v>
      </c>
      <c r="D94" s="30"/>
      <c r="E94" s="30"/>
      <c r="F94" s="30"/>
      <c r="G94" s="30"/>
      <c r="H94" s="30"/>
    </row>
    <row r="95" spans="2:8">
      <c r="B95" s="6" t="s">
        <v>57</v>
      </c>
      <c r="D95" s="30"/>
      <c r="E95" s="30"/>
      <c r="F95" s="30"/>
      <c r="G95" s="30"/>
      <c r="H95" s="30"/>
    </row>
    <row r="96" spans="2:8">
      <c r="B96" s="6" t="s">
        <v>57</v>
      </c>
      <c r="D96" s="30"/>
      <c r="E96" s="30"/>
      <c r="F96" s="30"/>
      <c r="G96" s="30"/>
      <c r="H96" s="30"/>
    </row>
    <row r="97" spans="2:8">
      <c r="B97" s="6" t="s">
        <v>57</v>
      </c>
      <c r="D97" s="30"/>
      <c r="E97" s="30"/>
      <c r="F97" s="30"/>
      <c r="G97" s="30"/>
      <c r="H97" s="30"/>
    </row>
    <row r="98" spans="2:8">
      <c r="B98" s="6" t="s">
        <v>57</v>
      </c>
      <c r="D98" s="30"/>
      <c r="E98" s="30"/>
      <c r="F98" s="30"/>
      <c r="G98" s="30"/>
      <c r="H98" s="30"/>
    </row>
    <row r="99" spans="2:8">
      <c r="B99" s="6" t="s">
        <v>57</v>
      </c>
      <c r="D99" s="30"/>
      <c r="E99" s="30"/>
      <c r="F99" s="30"/>
      <c r="G99" s="30"/>
      <c r="H99" s="30"/>
    </row>
    <row r="100" spans="2:8">
      <c r="B100" s="6" t="s">
        <v>57</v>
      </c>
      <c r="D100" s="30"/>
      <c r="E100" s="30"/>
      <c r="F100" s="30"/>
      <c r="G100" s="30"/>
      <c r="H100" s="30"/>
    </row>
    <row r="101" spans="2:8">
      <c r="B101" s="6" t="s">
        <v>57</v>
      </c>
      <c r="D101" s="30"/>
      <c r="E101" s="30"/>
      <c r="F101" s="30"/>
      <c r="G101" s="30"/>
      <c r="H101" s="30"/>
    </row>
    <row r="102" spans="2:8">
      <c r="B102" s="6" t="s">
        <v>57</v>
      </c>
      <c r="D102" s="30"/>
      <c r="E102" s="30"/>
      <c r="F102" s="30"/>
      <c r="G102" s="30"/>
      <c r="H102" s="30"/>
    </row>
    <row r="103" spans="2:8">
      <c r="B103" s="6" t="s">
        <v>57</v>
      </c>
      <c r="D103" s="30"/>
      <c r="E103" s="30"/>
      <c r="F103" s="30"/>
      <c r="G103" s="30"/>
      <c r="H103" s="30"/>
    </row>
    <row r="104" spans="2:8">
      <c r="B104" s="6" t="s">
        <v>57</v>
      </c>
      <c r="D104" s="30"/>
      <c r="E104" s="30"/>
      <c r="F104" s="30"/>
      <c r="G104" s="30"/>
      <c r="H104" s="30"/>
    </row>
    <row r="105" spans="2:8">
      <c r="B105" s="6" t="s">
        <v>57</v>
      </c>
      <c r="D105" s="30"/>
      <c r="E105" s="30"/>
      <c r="F105" s="30"/>
      <c r="G105" s="30"/>
      <c r="H105" s="30"/>
    </row>
    <row r="106" spans="2:8">
      <c r="B106" s="6" t="s">
        <v>57</v>
      </c>
      <c r="D106" s="30"/>
      <c r="E106" s="30"/>
      <c r="F106" s="30"/>
      <c r="G106" s="30"/>
      <c r="H106" s="30"/>
    </row>
    <row r="107" spans="2:8">
      <c r="B107" s="6" t="s">
        <v>57</v>
      </c>
      <c r="D107" s="30"/>
      <c r="E107" s="30"/>
      <c r="F107" s="30"/>
      <c r="G107" s="30"/>
      <c r="H107" s="30"/>
    </row>
    <row r="108" spans="2:8">
      <c r="B108" s="6" t="s">
        <v>57</v>
      </c>
      <c r="D108" s="30"/>
      <c r="E108" s="30"/>
      <c r="F108" s="30"/>
      <c r="G108" s="30"/>
      <c r="H108" s="30"/>
    </row>
    <row r="109" spans="2:8">
      <c r="B109" s="6" t="s">
        <v>57</v>
      </c>
      <c r="D109" s="30"/>
      <c r="E109" s="30"/>
      <c r="F109" s="30"/>
      <c r="G109" s="30"/>
      <c r="H109" s="30"/>
    </row>
    <row r="110" spans="2:8">
      <c r="B110" s="6" t="s">
        <v>57</v>
      </c>
      <c r="D110" s="30"/>
      <c r="E110" s="30"/>
      <c r="F110" s="30"/>
      <c r="G110" s="30"/>
      <c r="H110" s="30"/>
    </row>
    <row r="111" spans="2:8">
      <c r="B111" s="6" t="s">
        <v>57</v>
      </c>
      <c r="D111" s="30"/>
      <c r="E111" s="30"/>
      <c r="F111" s="30"/>
      <c r="G111" s="30"/>
      <c r="H111" s="30"/>
    </row>
    <row r="112" spans="2:8">
      <c r="D112" s="30"/>
      <c r="E112" s="30"/>
      <c r="F112" s="30"/>
      <c r="G112" s="30"/>
      <c r="H112" s="30"/>
    </row>
    <row r="113" spans="2:8">
      <c r="B113" s="2" t="s">
        <v>49</v>
      </c>
      <c r="D113" s="48">
        <f>SUM(D92:D112)</f>
        <v>0</v>
      </c>
      <c r="E113" s="48">
        <f>SUM(E92:E112)</f>
        <v>0</v>
      </c>
      <c r="F113" s="48">
        <f>SUM(F92:F112)</f>
        <v>0</v>
      </c>
      <c r="G113" s="48">
        <f>SUM(G92:G112)</f>
        <v>0</v>
      </c>
      <c r="H113" s="48">
        <f>SUM(H92:H112)</f>
        <v>0</v>
      </c>
    </row>
    <row r="114" spans="2:8">
      <c r="D114" s="70"/>
      <c r="E114" s="70"/>
      <c r="F114" s="70"/>
      <c r="G114" s="70"/>
      <c r="H114" s="70"/>
    </row>
    <row r="115" spans="2:8" ht="15.75">
      <c r="B115" s="10" t="s">
        <v>13</v>
      </c>
      <c r="D115" s="30"/>
      <c r="E115" s="30"/>
      <c r="F115" s="30"/>
      <c r="G115" s="30"/>
      <c r="H115" s="30"/>
    </row>
    <row r="116" spans="2:8">
      <c r="B116" s="2" t="str">
        <f>B44</f>
        <v>Water Assets (excluding Water Security)</v>
      </c>
      <c r="D116" s="30">
        <f t="shared" ref="D116:H125" si="9">IF(D22&lt;1,-(D44+D68+D92),-(D44+D68+D92)/D22)</f>
        <v>-31041489.962198969</v>
      </c>
      <c r="E116" s="30">
        <f t="shared" si="9"/>
        <v>-31041489.962198969</v>
      </c>
      <c r="F116" s="30">
        <f t="shared" si="9"/>
        <v>-31041489.962198969</v>
      </c>
      <c r="G116" s="30">
        <f t="shared" si="9"/>
        <v>-31041489.962198969</v>
      </c>
      <c r="H116" s="30">
        <f t="shared" si="9"/>
        <v>-31041489.962198969</v>
      </c>
    </row>
    <row r="117" spans="2:8">
      <c r="B117" s="2" t="str">
        <f t="shared" ref="B117:B135" si="10">B45</f>
        <v>801410 ECD-Dams &amp; Weirs</v>
      </c>
      <c r="D117" s="30">
        <f t="shared" si="9"/>
        <v>0</v>
      </c>
      <c r="E117" s="30">
        <f t="shared" si="9"/>
        <v>0</v>
      </c>
      <c r="F117" s="30">
        <f t="shared" si="9"/>
        <v>0</v>
      </c>
      <c r="G117" s="30">
        <f t="shared" si="9"/>
        <v>0</v>
      </c>
      <c r="H117" s="30">
        <f t="shared" si="9"/>
        <v>0</v>
      </c>
    </row>
    <row r="118" spans="2:8">
      <c r="B118" s="2" t="str">
        <f t="shared" si="10"/>
        <v>801410 ECD-Dams or Weirs intake structures</v>
      </c>
      <c r="D118" s="30">
        <f t="shared" si="9"/>
        <v>0</v>
      </c>
      <c r="E118" s="30">
        <f t="shared" si="9"/>
        <v>0</v>
      </c>
      <c r="F118" s="30">
        <f t="shared" si="9"/>
        <v>0</v>
      </c>
      <c r="G118" s="30">
        <f t="shared" si="9"/>
        <v>0</v>
      </c>
      <c r="H118" s="30">
        <f t="shared" si="9"/>
        <v>0</v>
      </c>
    </row>
    <row r="119" spans="2:8">
      <c r="B119" s="2" t="str">
        <f t="shared" si="10"/>
        <v>801410 ECD-Valves</v>
      </c>
      <c r="D119" s="30">
        <f t="shared" si="9"/>
        <v>0</v>
      </c>
      <c r="E119" s="30">
        <f t="shared" si="9"/>
        <v>0</v>
      </c>
      <c r="F119" s="30">
        <f t="shared" si="9"/>
        <v>0</v>
      </c>
      <c r="G119" s="30">
        <f t="shared" si="9"/>
        <v>0</v>
      </c>
      <c r="H119" s="30">
        <f t="shared" si="9"/>
        <v>0</v>
      </c>
    </row>
    <row r="120" spans="2:8">
      <c r="B120" s="2" t="str">
        <f t="shared" si="10"/>
        <v>801410 ECD-Flow Meters</v>
      </c>
      <c r="D120" s="30">
        <f t="shared" si="9"/>
        <v>0</v>
      </c>
      <c r="E120" s="30">
        <f t="shared" si="9"/>
        <v>0</v>
      </c>
      <c r="F120" s="30">
        <f t="shared" si="9"/>
        <v>0</v>
      </c>
      <c r="G120" s="30">
        <f t="shared" si="9"/>
        <v>0</v>
      </c>
      <c r="H120" s="30">
        <f t="shared" si="9"/>
        <v>0</v>
      </c>
    </row>
    <row r="121" spans="2:8">
      <c r="B121" s="2" t="str">
        <f t="shared" si="10"/>
        <v>801410 ECD-Pressure sensors, transmitters and meters</v>
      </c>
      <c r="D121" s="30">
        <f t="shared" si="9"/>
        <v>0</v>
      </c>
      <c r="E121" s="30">
        <f t="shared" si="9"/>
        <v>0</v>
      </c>
      <c r="F121" s="30">
        <f t="shared" si="9"/>
        <v>0</v>
      </c>
      <c r="G121" s="30">
        <f t="shared" si="9"/>
        <v>0</v>
      </c>
      <c r="H121" s="30">
        <f t="shared" si="9"/>
        <v>0</v>
      </c>
    </row>
    <row r="122" spans="2:8">
      <c r="B122" s="2" t="str">
        <f t="shared" si="10"/>
        <v>801416 ECD-Dams &amp; Weirs</v>
      </c>
      <c r="D122" s="30">
        <f t="shared" si="9"/>
        <v>0</v>
      </c>
      <c r="E122" s="30">
        <f t="shared" si="9"/>
        <v>0</v>
      </c>
      <c r="F122" s="30">
        <f t="shared" si="9"/>
        <v>0</v>
      </c>
      <c r="G122" s="30">
        <f t="shared" si="9"/>
        <v>0</v>
      </c>
      <c r="H122" s="30">
        <f t="shared" si="9"/>
        <v>0</v>
      </c>
    </row>
    <row r="123" spans="2:8">
      <c r="B123" s="2" t="str">
        <f t="shared" si="10"/>
        <v>801416 ECD-Dams or Weir intake structures</v>
      </c>
      <c r="D123" s="30">
        <f t="shared" si="9"/>
        <v>0</v>
      </c>
      <c r="E123" s="30">
        <f t="shared" si="9"/>
        <v>0</v>
      </c>
      <c r="F123" s="30">
        <f t="shared" si="9"/>
        <v>0</v>
      </c>
      <c r="G123" s="30">
        <f t="shared" si="9"/>
        <v>0</v>
      </c>
      <c r="H123" s="30">
        <f t="shared" si="9"/>
        <v>0</v>
      </c>
    </row>
    <row r="124" spans="2:8">
      <c r="B124" s="2" t="str">
        <f t="shared" si="10"/>
        <v>801416 ECD-Valves</v>
      </c>
      <c r="D124" s="30">
        <f t="shared" si="9"/>
        <v>0</v>
      </c>
      <c r="E124" s="30">
        <f t="shared" si="9"/>
        <v>0</v>
      </c>
      <c r="F124" s="30">
        <f t="shared" si="9"/>
        <v>0</v>
      </c>
      <c r="G124" s="30">
        <f t="shared" si="9"/>
        <v>0</v>
      </c>
      <c r="H124" s="30">
        <f t="shared" si="9"/>
        <v>0</v>
      </c>
    </row>
    <row r="125" spans="2:8">
      <c r="B125" s="2" t="str">
        <f t="shared" si="10"/>
        <v>801416 ECD-Flow Meters</v>
      </c>
      <c r="D125" s="30">
        <f t="shared" si="9"/>
        <v>0</v>
      </c>
      <c r="E125" s="30">
        <f t="shared" si="9"/>
        <v>0</v>
      </c>
      <c r="F125" s="30">
        <f t="shared" si="9"/>
        <v>0</v>
      </c>
      <c r="G125" s="30">
        <f t="shared" si="9"/>
        <v>0</v>
      </c>
      <c r="H125" s="30">
        <f t="shared" si="9"/>
        <v>0</v>
      </c>
    </row>
    <row r="126" spans="2:8">
      <c r="B126" s="2" t="str">
        <f t="shared" si="10"/>
        <v>801416 ECD-Pressure sensors, transmitters and meters</v>
      </c>
      <c r="D126" s="30">
        <f t="shared" ref="D126:H135" si="11">IF(D32&lt;1,-(D54+D78+D102),-(D54+D78+D102)/D32)</f>
        <v>0</v>
      </c>
      <c r="E126" s="30">
        <f t="shared" si="11"/>
        <v>0</v>
      </c>
      <c r="F126" s="30">
        <f t="shared" si="11"/>
        <v>0</v>
      </c>
      <c r="G126" s="30">
        <f t="shared" si="11"/>
        <v>0</v>
      </c>
      <c r="H126" s="30">
        <f t="shared" si="11"/>
        <v>0</v>
      </c>
    </row>
    <row r="127" spans="2:8">
      <c r="B127" s="2" t="str">
        <f t="shared" si="10"/>
        <v>801411 M2G-Cathodic protections systems</v>
      </c>
      <c r="D127" s="30">
        <f t="shared" si="11"/>
        <v>0</v>
      </c>
      <c r="E127" s="30">
        <f t="shared" si="11"/>
        <v>0</v>
      </c>
      <c r="F127" s="30">
        <f t="shared" si="11"/>
        <v>0</v>
      </c>
      <c r="G127" s="30">
        <f t="shared" si="11"/>
        <v>0</v>
      </c>
      <c r="H127" s="30">
        <f t="shared" si="11"/>
        <v>0</v>
      </c>
    </row>
    <row r="128" spans="2:8">
      <c r="B128" s="2" t="str">
        <f t="shared" si="10"/>
        <v>801411 M2G-Valves (Bulk)</v>
      </c>
      <c r="D128" s="30">
        <f t="shared" si="11"/>
        <v>0</v>
      </c>
      <c r="E128" s="30">
        <f t="shared" si="11"/>
        <v>0</v>
      </c>
      <c r="F128" s="30">
        <f t="shared" si="11"/>
        <v>0</v>
      </c>
      <c r="G128" s="30">
        <f t="shared" si="11"/>
        <v>0</v>
      </c>
      <c r="H128" s="30">
        <f t="shared" si="11"/>
        <v>0</v>
      </c>
    </row>
    <row r="129" spans="2:8">
      <c r="B129" s="2" t="str">
        <f t="shared" si="10"/>
        <v>801411 M2G-Valves (Pump)</v>
      </c>
      <c r="D129" s="30">
        <f t="shared" si="11"/>
        <v>0</v>
      </c>
      <c r="E129" s="30">
        <f t="shared" si="11"/>
        <v>0</v>
      </c>
      <c r="F129" s="30">
        <f t="shared" si="11"/>
        <v>0</v>
      </c>
      <c r="G129" s="30">
        <f t="shared" si="11"/>
        <v>0</v>
      </c>
      <c r="H129" s="30">
        <f t="shared" si="11"/>
        <v>0</v>
      </c>
    </row>
    <row r="130" spans="2:8">
      <c r="B130" s="2" t="str">
        <f t="shared" si="10"/>
        <v>801411 M2G-Flow Meters (Bulk)</v>
      </c>
      <c r="D130" s="30">
        <f t="shared" si="11"/>
        <v>0</v>
      </c>
      <c r="E130" s="30">
        <f t="shared" si="11"/>
        <v>0</v>
      </c>
      <c r="F130" s="30">
        <f t="shared" si="11"/>
        <v>0</v>
      </c>
      <c r="G130" s="30">
        <f t="shared" si="11"/>
        <v>0</v>
      </c>
      <c r="H130" s="30">
        <f t="shared" si="11"/>
        <v>0</v>
      </c>
    </row>
    <row r="131" spans="2:8">
      <c r="B131" s="2" t="str">
        <f t="shared" si="10"/>
        <v>801411 M2G-Flow Meters (Pump)</v>
      </c>
      <c r="D131" s="30">
        <f t="shared" si="11"/>
        <v>0</v>
      </c>
      <c r="E131" s="30">
        <f t="shared" si="11"/>
        <v>0</v>
      </c>
      <c r="F131" s="30">
        <f t="shared" si="11"/>
        <v>0</v>
      </c>
      <c r="G131" s="30">
        <f t="shared" si="11"/>
        <v>0</v>
      </c>
      <c r="H131" s="30">
        <f t="shared" si="11"/>
        <v>0</v>
      </c>
    </row>
    <row r="132" spans="2:8">
      <c r="B132" s="2" t="str">
        <f t="shared" si="10"/>
        <v>801411 M2G-Water Mains (Bulk)</v>
      </c>
      <c r="D132" s="30">
        <f t="shared" si="11"/>
        <v>0</v>
      </c>
      <c r="E132" s="30">
        <f t="shared" si="11"/>
        <v>0</v>
      </c>
      <c r="F132" s="30">
        <f t="shared" si="11"/>
        <v>0</v>
      </c>
      <c r="G132" s="30">
        <f t="shared" si="11"/>
        <v>0</v>
      </c>
      <c r="H132" s="30">
        <f t="shared" si="11"/>
        <v>0</v>
      </c>
    </row>
    <row r="133" spans="2:8">
      <c r="B133" s="2" t="str">
        <f t="shared" si="10"/>
        <v>801411 M2G-Water Mains (Pump)</v>
      </c>
      <c r="D133" s="30">
        <f t="shared" si="11"/>
        <v>0</v>
      </c>
      <c r="E133" s="30">
        <f t="shared" si="11"/>
        <v>0</v>
      </c>
      <c r="F133" s="30">
        <f t="shared" si="11"/>
        <v>0</v>
      </c>
      <c r="G133" s="30">
        <f t="shared" si="11"/>
        <v>0</v>
      </c>
      <c r="H133" s="30">
        <f t="shared" si="11"/>
        <v>0</v>
      </c>
    </row>
    <row r="134" spans="2:8">
      <c r="B134" s="2" t="str">
        <f t="shared" si="10"/>
        <v>801411 M2G-Telemetry (Pump)</v>
      </c>
      <c r="D134" s="30">
        <f t="shared" si="11"/>
        <v>0</v>
      </c>
      <c r="E134" s="30">
        <f t="shared" si="11"/>
        <v>0</v>
      </c>
      <c r="F134" s="30">
        <f t="shared" si="11"/>
        <v>0</v>
      </c>
      <c r="G134" s="30">
        <f t="shared" si="11"/>
        <v>0</v>
      </c>
      <c r="H134" s="30">
        <f t="shared" si="11"/>
        <v>0</v>
      </c>
    </row>
    <row r="135" spans="2:8">
      <c r="B135" s="2" t="str">
        <f t="shared" si="10"/>
        <v>801411 M2G-Pump Sets (Pump)</v>
      </c>
      <c r="D135" s="30">
        <f t="shared" si="11"/>
        <v>0</v>
      </c>
      <c r="E135" s="30">
        <f t="shared" si="11"/>
        <v>0</v>
      </c>
      <c r="F135" s="30">
        <f t="shared" si="11"/>
        <v>0</v>
      </c>
      <c r="G135" s="30">
        <f t="shared" si="11"/>
        <v>0</v>
      </c>
      <c r="H135" s="30">
        <f t="shared" si="11"/>
        <v>0</v>
      </c>
    </row>
    <row r="136" spans="2:8">
      <c r="D136" s="30"/>
      <c r="E136" s="30"/>
      <c r="F136" s="30"/>
      <c r="G136" s="30"/>
      <c r="H136" s="30"/>
    </row>
    <row r="137" spans="2:8">
      <c r="B137" s="2" t="s">
        <v>49</v>
      </c>
      <c r="D137" s="48">
        <f>SUM(D116:D136)</f>
        <v>-31041489.962198969</v>
      </c>
      <c r="E137" s="48">
        <f>SUM(E116:E136)</f>
        <v>-31041489.962198969</v>
      </c>
      <c r="F137" s="48">
        <f>SUM(F116:F136)</f>
        <v>-31041489.962198969</v>
      </c>
      <c r="G137" s="48">
        <f>SUM(G116:G136)</f>
        <v>-31041489.962198969</v>
      </c>
      <c r="H137" s="48">
        <f>SUM(H116:H136)</f>
        <v>-31041489.962198969</v>
      </c>
    </row>
    <row r="138" spans="2:8">
      <c r="D138" s="30"/>
      <c r="E138" s="30"/>
      <c r="F138" s="30"/>
      <c r="G138" s="30"/>
      <c r="H138" s="30"/>
    </row>
    <row r="139" spans="2:8" ht="15.75">
      <c r="B139" s="10" t="s">
        <v>118</v>
      </c>
      <c r="D139" s="30"/>
      <c r="E139" s="30"/>
      <c r="F139" s="30"/>
      <c r="G139" s="30"/>
      <c r="H139" s="30"/>
    </row>
    <row r="140" spans="2:8">
      <c r="B140" s="2" t="str">
        <f>B116</f>
        <v>Water Assets (excluding Water Security)</v>
      </c>
      <c r="D140" s="30">
        <f t="shared" ref="D140:H149" si="12">D44+D68+D92+D116</f>
        <v>1052804884.5791311</v>
      </c>
      <c r="E140" s="30">
        <f t="shared" si="12"/>
        <v>1021763394.6169322</v>
      </c>
      <c r="F140" s="30">
        <f t="shared" si="12"/>
        <v>990721904.65473318</v>
      </c>
      <c r="G140" s="30">
        <f t="shared" si="12"/>
        <v>959680414.69253421</v>
      </c>
      <c r="H140" s="30">
        <f t="shared" si="12"/>
        <v>928638924.73033524</v>
      </c>
    </row>
    <row r="141" spans="2:8">
      <c r="B141" s="2" t="str">
        <f t="shared" ref="B141:B159" si="13">B117</f>
        <v>801410 ECD-Dams &amp; Weirs</v>
      </c>
      <c r="D141" s="30">
        <f t="shared" si="12"/>
        <v>0</v>
      </c>
      <c r="E141" s="30">
        <f t="shared" si="12"/>
        <v>0</v>
      </c>
      <c r="F141" s="30">
        <f t="shared" si="12"/>
        <v>0</v>
      </c>
      <c r="G141" s="30">
        <f t="shared" si="12"/>
        <v>0</v>
      </c>
      <c r="H141" s="30">
        <f t="shared" si="12"/>
        <v>0</v>
      </c>
    </row>
    <row r="142" spans="2:8">
      <c r="B142" s="2" t="str">
        <f t="shared" si="13"/>
        <v>801410 ECD-Dams or Weirs intake structures</v>
      </c>
      <c r="D142" s="30">
        <f t="shared" si="12"/>
        <v>0</v>
      </c>
      <c r="E142" s="30">
        <f t="shared" si="12"/>
        <v>0</v>
      </c>
      <c r="F142" s="30">
        <f t="shared" si="12"/>
        <v>0</v>
      </c>
      <c r="G142" s="30">
        <f t="shared" si="12"/>
        <v>0</v>
      </c>
      <c r="H142" s="30">
        <f t="shared" si="12"/>
        <v>0</v>
      </c>
    </row>
    <row r="143" spans="2:8">
      <c r="B143" s="2" t="str">
        <f t="shared" si="13"/>
        <v>801410 ECD-Valves</v>
      </c>
      <c r="D143" s="30">
        <f t="shared" si="12"/>
        <v>0</v>
      </c>
      <c r="E143" s="30">
        <f t="shared" si="12"/>
        <v>0</v>
      </c>
      <c r="F143" s="30">
        <f t="shared" si="12"/>
        <v>0</v>
      </c>
      <c r="G143" s="30">
        <f t="shared" si="12"/>
        <v>0</v>
      </c>
      <c r="H143" s="30">
        <f t="shared" si="12"/>
        <v>0</v>
      </c>
    </row>
    <row r="144" spans="2:8">
      <c r="B144" s="2" t="str">
        <f t="shared" si="13"/>
        <v>801410 ECD-Flow Meters</v>
      </c>
      <c r="D144" s="30">
        <f t="shared" si="12"/>
        <v>0</v>
      </c>
      <c r="E144" s="30">
        <f t="shared" si="12"/>
        <v>0</v>
      </c>
      <c r="F144" s="30">
        <f t="shared" si="12"/>
        <v>0</v>
      </c>
      <c r="G144" s="30">
        <f t="shared" si="12"/>
        <v>0</v>
      </c>
      <c r="H144" s="30">
        <f t="shared" si="12"/>
        <v>0</v>
      </c>
    </row>
    <row r="145" spans="2:8">
      <c r="B145" s="2" t="str">
        <f t="shared" si="13"/>
        <v>801410 ECD-Pressure sensors, transmitters and meters</v>
      </c>
      <c r="D145" s="30">
        <f t="shared" si="12"/>
        <v>0</v>
      </c>
      <c r="E145" s="30">
        <f t="shared" si="12"/>
        <v>0</v>
      </c>
      <c r="F145" s="30">
        <f t="shared" si="12"/>
        <v>0</v>
      </c>
      <c r="G145" s="30">
        <f t="shared" si="12"/>
        <v>0</v>
      </c>
      <c r="H145" s="30">
        <f t="shared" si="12"/>
        <v>0</v>
      </c>
    </row>
    <row r="146" spans="2:8">
      <c r="B146" s="2" t="str">
        <f t="shared" si="13"/>
        <v>801416 ECD-Dams &amp; Weirs</v>
      </c>
      <c r="D146" s="30">
        <f t="shared" si="12"/>
        <v>0</v>
      </c>
      <c r="E146" s="30">
        <f t="shared" si="12"/>
        <v>0</v>
      </c>
      <c r="F146" s="30">
        <f t="shared" si="12"/>
        <v>0</v>
      </c>
      <c r="G146" s="30">
        <f t="shared" si="12"/>
        <v>0</v>
      </c>
      <c r="H146" s="30">
        <f t="shared" si="12"/>
        <v>0</v>
      </c>
    </row>
    <row r="147" spans="2:8">
      <c r="B147" s="2" t="str">
        <f t="shared" si="13"/>
        <v>801416 ECD-Dams or Weir intake structures</v>
      </c>
      <c r="D147" s="30">
        <f t="shared" si="12"/>
        <v>0</v>
      </c>
      <c r="E147" s="30">
        <f t="shared" si="12"/>
        <v>0</v>
      </c>
      <c r="F147" s="30">
        <f t="shared" si="12"/>
        <v>0</v>
      </c>
      <c r="G147" s="30">
        <f t="shared" si="12"/>
        <v>0</v>
      </c>
      <c r="H147" s="30">
        <f t="shared" si="12"/>
        <v>0</v>
      </c>
    </row>
    <row r="148" spans="2:8">
      <c r="B148" s="2" t="str">
        <f t="shared" si="13"/>
        <v>801416 ECD-Valves</v>
      </c>
      <c r="D148" s="30">
        <f t="shared" si="12"/>
        <v>0</v>
      </c>
      <c r="E148" s="30">
        <f t="shared" si="12"/>
        <v>0</v>
      </c>
      <c r="F148" s="30">
        <f t="shared" si="12"/>
        <v>0</v>
      </c>
      <c r="G148" s="30">
        <f t="shared" si="12"/>
        <v>0</v>
      </c>
      <c r="H148" s="30">
        <f t="shared" si="12"/>
        <v>0</v>
      </c>
    </row>
    <row r="149" spans="2:8">
      <c r="B149" s="2" t="str">
        <f t="shared" si="13"/>
        <v>801416 ECD-Flow Meters</v>
      </c>
      <c r="D149" s="30">
        <f t="shared" si="12"/>
        <v>0</v>
      </c>
      <c r="E149" s="30">
        <f t="shared" si="12"/>
        <v>0</v>
      </c>
      <c r="F149" s="30">
        <f t="shared" si="12"/>
        <v>0</v>
      </c>
      <c r="G149" s="30">
        <f t="shared" si="12"/>
        <v>0</v>
      </c>
      <c r="H149" s="30">
        <f t="shared" si="12"/>
        <v>0</v>
      </c>
    </row>
    <row r="150" spans="2:8">
      <c r="B150" s="2" t="str">
        <f t="shared" si="13"/>
        <v>801416 ECD-Pressure sensors, transmitters and meters</v>
      </c>
      <c r="D150" s="30">
        <f t="shared" ref="D150:H159" si="14">D54+D78+D102+D126</f>
        <v>0</v>
      </c>
      <c r="E150" s="30">
        <f t="shared" si="14"/>
        <v>0</v>
      </c>
      <c r="F150" s="30">
        <f t="shared" si="14"/>
        <v>0</v>
      </c>
      <c r="G150" s="30">
        <f t="shared" si="14"/>
        <v>0</v>
      </c>
      <c r="H150" s="30">
        <f t="shared" si="14"/>
        <v>0</v>
      </c>
    </row>
    <row r="151" spans="2:8">
      <c r="B151" s="2" t="str">
        <f t="shared" si="13"/>
        <v>801411 M2G-Cathodic protections systems</v>
      </c>
      <c r="D151" s="30">
        <f t="shared" si="14"/>
        <v>0</v>
      </c>
      <c r="E151" s="30">
        <f t="shared" si="14"/>
        <v>0</v>
      </c>
      <c r="F151" s="30">
        <f t="shared" si="14"/>
        <v>0</v>
      </c>
      <c r="G151" s="30">
        <f t="shared" si="14"/>
        <v>0</v>
      </c>
      <c r="H151" s="30">
        <f t="shared" si="14"/>
        <v>0</v>
      </c>
    </row>
    <row r="152" spans="2:8">
      <c r="B152" s="2" t="str">
        <f t="shared" si="13"/>
        <v>801411 M2G-Valves (Bulk)</v>
      </c>
      <c r="D152" s="30">
        <f t="shared" si="14"/>
        <v>0</v>
      </c>
      <c r="E152" s="30">
        <f t="shared" si="14"/>
        <v>0</v>
      </c>
      <c r="F152" s="30">
        <f t="shared" si="14"/>
        <v>0</v>
      </c>
      <c r="G152" s="30">
        <f t="shared" si="14"/>
        <v>0</v>
      </c>
      <c r="H152" s="30">
        <f t="shared" si="14"/>
        <v>0</v>
      </c>
    </row>
    <row r="153" spans="2:8">
      <c r="B153" s="2" t="str">
        <f t="shared" si="13"/>
        <v>801411 M2G-Valves (Pump)</v>
      </c>
      <c r="D153" s="30">
        <f t="shared" si="14"/>
        <v>0</v>
      </c>
      <c r="E153" s="30">
        <f t="shared" si="14"/>
        <v>0</v>
      </c>
      <c r="F153" s="30">
        <f t="shared" si="14"/>
        <v>0</v>
      </c>
      <c r="G153" s="30">
        <f t="shared" si="14"/>
        <v>0</v>
      </c>
      <c r="H153" s="30">
        <f t="shared" si="14"/>
        <v>0</v>
      </c>
    </row>
    <row r="154" spans="2:8">
      <c r="B154" s="2" t="str">
        <f t="shared" si="13"/>
        <v>801411 M2G-Flow Meters (Bulk)</v>
      </c>
      <c r="D154" s="30">
        <f t="shared" si="14"/>
        <v>0</v>
      </c>
      <c r="E154" s="30">
        <f t="shared" si="14"/>
        <v>0</v>
      </c>
      <c r="F154" s="30">
        <f t="shared" si="14"/>
        <v>0</v>
      </c>
      <c r="G154" s="30">
        <f t="shared" si="14"/>
        <v>0</v>
      </c>
      <c r="H154" s="30">
        <f t="shared" si="14"/>
        <v>0</v>
      </c>
    </row>
    <row r="155" spans="2:8">
      <c r="B155" s="2" t="str">
        <f t="shared" si="13"/>
        <v>801411 M2G-Flow Meters (Pump)</v>
      </c>
      <c r="D155" s="30">
        <f t="shared" si="14"/>
        <v>0</v>
      </c>
      <c r="E155" s="30">
        <f t="shared" si="14"/>
        <v>0</v>
      </c>
      <c r="F155" s="30">
        <f t="shared" si="14"/>
        <v>0</v>
      </c>
      <c r="G155" s="30">
        <f t="shared" si="14"/>
        <v>0</v>
      </c>
      <c r="H155" s="30">
        <f t="shared" si="14"/>
        <v>0</v>
      </c>
    </row>
    <row r="156" spans="2:8">
      <c r="B156" s="2" t="str">
        <f t="shared" si="13"/>
        <v>801411 M2G-Water Mains (Bulk)</v>
      </c>
      <c r="D156" s="30">
        <f t="shared" si="14"/>
        <v>0</v>
      </c>
      <c r="E156" s="30">
        <f t="shared" si="14"/>
        <v>0</v>
      </c>
      <c r="F156" s="30">
        <f t="shared" si="14"/>
        <v>0</v>
      </c>
      <c r="G156" s="30">
        <f t="shared" si="14"/>
        <v>0</v>
      </c>
      <c r="H156" s="30">
        <f t="shared" si="14"/>
        <v>0</v>
      </c>
    </row>
    <row r="157" spans="2:8">
      <c r="B157" s="2" t="str">
        <f t="shared" si="13"/>
        <v>801411 M2G-Water Mains (Pump)</v>
      </c>
      <c r="D157" s="30">
        <f t="shared" si="14"/>
        <v>0</v>
      </c>
      <c r="E157" s="30">
        <f t="shared" si="14"/>
        <v>0</v>
      </c>
      <c r="F157" s="30">
        <f t="shared" si="14"/>
        <v>0</v>
      </c>
      <c r="G157" s="30">
        <f t="shared" si="14"/>
        <v>0</v>
      </c>
      <c r="H157" s="30">
        <f t="shared" si="14"/>
        <v>0</v>
      </c>
    </row>
    <row r="158" spans="2:8">
      <c r="B158" s="2" t="str">
        <f t="shared" si="13"/>
        <v>801411 M2G-Telemetry (Pump)</v>
      </c>
      <c r="D158" s="30">
        <f t="shared" si="14"/>
        <v>0</v>
      </c>
      <c r="E158" s="30">
        <f t="shared" si="14"/>
        <v>0</v>
      </c>
      <c r="F158" s="30">
        <f t="shared" si="14"/>
        <v>0</v>
      </c>
      <c r="G158" s="30">
        <f t="shared" si="14"/>
        <v>0</v>
      </c>
      <c r="H158" s="30">
        <f t="shared" si="14"/>
        <v>0</v>
      </c>
    </row>
    <row r="159" spans="2:8">
      <c r="B159" s="2" t="str">
        <f t="shared" si="13"/>
        <v>801411 M2G-Pump Sets (Pump)</v>
      </c>
      <c r="D159" s="30">
        <f t="shared" si="14"/>
        <v>0</v>
      </c>
      <c r="E159" s="30">
        <f t="shared" si="14"/>
        <v>0</v>
      </c>
      <c r="F159" s="30">
        <f t="shared" si="14"/>
        <v>0</v>
      </c>
      <c r="G159" s="30">
        <f t="shared" si="14"/>
        <v>0</v>
      </c>
      <c r="H159" s="30">
        <f t="shared" si="14"/>
        <v>0</v>
      </c>
    </row>
    <row r="160" spans="2:8">
      <c r="D160" s="30"/>
      <c r="E160" s="30"/>
      <c r="F160" s="30"/>
      <c r="G160" s="30"/>
      <c r="H160" s="30"/>
    </row>
    <row r="161" spans="2:8">
      <c r="B161" s="2" t="s">
        <v>49</v>
      </c>
      <c r="D161" s="48">
        <f>SUM(D140:D160)</f>
        <v>1052804884.5791311</v>
      </c>
      <c r="E161" s="48">
        <f>SUM(E140:E160)</f>
        <v>1021763394.6169322</v>
      </c>
      <c r="F161" s="48">
        <f>SUM(F140:F160)</f>
        <v>990721904.65473318</v>
      </c>
      <c r="G161" s="48">
        <f>SUM(G140:G160)</f>
        <v>959680414.69253421</v>
      </c>
      <c r="H161" s="48">
        <f>SUM(H140:H160)</f>
        <v>928638924.73033524</v>
      </c>
    </row>
    <row r="162" spans="2:8">
      <c r="D162" s="30"/>
      <c r="E162" s="30"/>
      <c r="F162" s="30"/>
      <c r="G162" s="30"/>
      <c r="H162" s="30"/>
    </row>
    <row r="163" spans="2:8">
      <c r="D163" s="30"/>
      <c r="E163" s="30"/>
      <c r="F163" s="30"/>
      <c r="G163" s="30"/>
      <c r="H163" s="30"/>
    </row>
    <row r="164" spans="2:8">
      <c r="D164" s="30"/>
      <c r="E164" s="30"/>
      <c r="F164" s="30"/>
      <c r="G164" s="30"/>
      <c r="H164" s="30"/>
    </row>
    <row r="165" spans="2:8">
      <c r="D165" s="30"/>
      <c r="E165" s="30"/>
      <c r="F165" s="30"/>
      <c r="G165" s="30"/>
      <c r="H165" s="30"/>
    </row>
    <row r="166" spans="2:8">
      <c r="D166" s="30"/>
      <c r="E166" s="30"/>
      <c r="F166" s="30"/>
      <c r="G166" s="30"/>
      <c r="H166" s="30"/>
    </row>
    <row r="167" spans="2:8">
      <c r="D167" s="30"/>
      <c r="E167" s="30"/>
      <c r="F167" s="30"/>
      <c r="G167" s="30"/>
      <c r="H167" s="30"/>
    </row>
    <row r="168" spans="2:8">
      <c r="D168" s="30"/>
      <c r="E168" s="30"/>
      <c r="F168" s="30"/>
      <c r="G168" s="30"/>
      <c r="H168" s="30"/>
    </row>
    <row r="169" spans="2:8">
      <c r="D169" s="30"/>
      <c r="E169" s="30"/>
      <c r="F169" s="30"/>
      <c r="G169" s="30"/>
      <c r="H169" s="30"/>
    </row>
    <row r="170" spans="2:8">
      <c r="D170" s="30"/>
      <c r="E170" s="30"/>
      <c r="F170" s="30"/>
      <c r="G170" s="30"/>
      <c r="H170" s="30"/>
    </row>
    <row r="171" spans="2:8">
      <c r="D171" s="30"/>
      <c r="E171" s="30"/>
      <c r="F171" s="30"/>
      <c r="G171" s="30"/>
      <c r="H171" s="30"/>
    </row>
    <row r="172" spans="2:8">
      <c r="D172" s="30"/>
      <c r="E172" s="30"/>
      <c r="F172" s="30"/>
      <c r="G172" s="30"/>
      <c r="H172" s="30"/>
    </row>
    <row r="173" spans="2:8">
      <c r="D173" s="30"/>
      <c r="E173" s="30"/>
      <c r="F173" s="30"/>
      <c r="G173" s="30"/>
      <c r="H173" s="30"/>
    </row>
    <row r="174" spans="2:8">
      <c r="D174" s="30"/>
      <c r="E174" s="30"/>
      <c r="F174" s="30"/>
      <c r="G174" s="30"/>
      <c r="H174" s="30"/>
    </row>
    <row r="175" spans="2:8">
      <c r="D175" s="30"/>
      <c r="E175" s="30"/>
      <c r="F175" s="30"/>
      <c r="G175" s="30"/>
      <c r="H175" s="30"/>
    </row>
    <row r="176" spans="2:8">
      <c r="D176" s="30"/>
      <c r="E176" s="30"/>
      <c r="F176" s="30"/>
      <c r="G176" s="30"/>
      <c r="H176" s="30"/>
    </row>
    <row r="177" spans="4:8">
      <c r="D177" s="30"/>
      <c r="E177" s="30"/>
      <c r="F177" s="30"/>
      <c r="G177" s="30"/>
      <c r="H177" s="30"/>
    </row>
    <row r="178" spans="4:8">
      <c r="D178" s="30"/>
      <c r="E178" s="30"/>
      <c r="F178" s="30"/>
      <c r="G178" s="30"/>
      <c r="H178" s="30"/>
    </row>
    <row r="179" spans="4:8">
      <c r="D179" s="30"/>
      <c r="E179" s="30"/>
      <c r="F179" s="30"/>
      <c r="G179" s="30"/>
      <c r="H179" s="30"/>
    </row>
    <row r="180" spans="4:8">
      <c r="D180" s="30"/>
      <c r="E180" s="30"/>
      <c r="F180" s="30"/>
      <c r="G180" s="30"/>
      <c r="H180" s="30"/>
    </row>
    <row r="181" spans="4:8">
      <c r="D181" s="30"/>
      <c r="E181" s="30"/>
      <c r="F181" s="30"/>
      <c r="G181" s="30"/>
      <c r="H181" s="30"/>
    </row>
    <row r="182" spans="4:8">
      <c r="D182" s="30"/>
      <c r="E182" s="30"/>
      <c r="F182" s="30"/>
      <c r="G182" s="30"/>
      <c r="H182" s="30"/>
    </row>
    <row r="183" spans="4:8">
      <c r="D183" s="30"/>
      <c r="E183" s="30"/>
      <c r="F183" s="30"/>
      <c r="G183" s="30"/>
      <c r="H183" s="30"/>
    </row>
    <row r="184" spans="4:8">
      <c r="D184" s="30"/>
      <c r="E184" s="30"/>
      <c r="F184" s="30"/>
      <c r="G184" s="30"/>
      <c r="H184" s="30"/>
    </row>
    <row r="185" spans="4:8">
      <c r="D185" s="30"/>
      <c r="E185" s="30"/>
      <c r="F185" s="30"/>
      <c r="G185" s="30"/>
      <c r="H185" s="30"/>
    </row>
    <row r="186" spans="4:8">
      <c r="D186" s="30"/>
      <c r="E186" s="30"/>
      <c r="F186" s="30"/>
      <c r="G186" s="30"/>
      <c r="H186" s="30"/>
    </row>
    <row r="187" spans="4:8">
      <c r="D187" s="30"/>
      <c r="E187" s="30"/>
      <c r="F187" s="30"/>
      <c r="G187" s="30"/>
      <c r="H187" s="30"/>
    </row>
    <row r="188" spans="4:8">
      <c r="D188" s="30"/>
      <c r="E188" s="30"/>
      <c r="F188" s="30"/>
      <c r="G188" s="30"/>
      <c r="H188" s="30"/>
    </row>
    <row r="189" spans="4:8">
      <c r="D189" s="30"/>
      <c r="E189" s="30"/>
      <c r="F189" s="30"/>
      <c r="G189" s="30"/>
      <c r="H189" s="30"/>
    </row>
    <row r="190" spans="4:8">
      <c r="D190" s="30"/>
      <c r="E190" s="30"/>
      <c r="F190" s="30"/>
      <c r="G190" s="30"/>
      <c r="H190" s="30"/>
    </row>
    <row r="191" spans="4:8">
      <c r="D191" s="30"/>
      <c r="E191" s="30"/>
      <c r="F191" s="30"/>
      <c r="G191" s="30"/>
      <c r="H191" s="30"/>
    </row>
    <row r="192" spans="4:8">
      <c r="D192" s="30"/>
      <c r="E192" s="30"/>
      <c r="F192" s="30"/>
      <c r="G192" s="30"/>
      <c r="H192" s="30"/>
    </row>
    <row r="193" spans="4:8">
      <c r="D193" s="30"/>
      <c r="E193" s="30"/>
      <c r="F193" s="30"/>
      <c r="G193" s="30"/>
      <c r="H193" s="30"/>
    </row>
    <row r="194" spans="4:8">
      <c r="D194" s="30"/>
      <c r="E194" s="30"/>
      <c r="F194" s="30"/>
      <c r="G194" s="30"/>
      <c r="H194" s="30"/>
    </row>
    <row r="195" spans="4:8">
      <c r="D195" s="30"/>
      <c r="E195" s="30"/>
      <c r="F195" s="30"/>
      <c r="G195" s="30"/>
      <c r="H195" s="30"/>
    </row>
    <row r="196" spans="4:8">
      <c r="D196" s="30"/>
      <c r="E196" s="30"/>
      <c r="F196" s="30"/>
      <c r="G196" s="30"/>
      <c r="H196" s="30"/>
    </row>
    <row r="197" spans="4:8">
      <c r="D197" s="30"/>
      <c r="E197" s="30"/>
      <c r="F197" s="30"/>
      <c r="G197" s="30"/>
      <c r="H197" s="30"/>
    </row>
    <row r="198" spans="4:8">
      <c r="D198" s="30"/>
      <c r="E198" s="30"/>
      <c r="F198" s="30"/>
      <c r="G198" s="30"/>
      <c r="H198" s="30"/>
    </row>
    <row r="199" spans="4:8">
      <c r="D199" s="30"/>
      <c r="E199" s="30"/>
      <c r="F199" s="30"/>
      <c r="G199" s="30"/>
      <c r="H199" s="30"/>
    </row>
    <row r="200" spans="4:8">
      <c r="D200" s="30"/>
      <c r="E200" s="30"/>
      <c r="F200" s="30"/>
      <c r="G200" s="30"/>
      <c r="H200" s="30"/>
    </row>
    <row r="201" spans="4:8">
      <c r="D201" s="30"/>
      <c r="E201" s="30"/>
      <c r="F201" s="30"/>
      <c r="G201" s="30"/>
      <c r="H201" s="30"/>
    </row>
    <row r="202" spans="4:8">
      <c r="D202" s="30"/>
      <c r="E202" s="30"/>
      <c r="F202" s="30"/>
      <c r="G202" s="30"/>
      <c r="H202" s="30"/>
    </row>
    <row r="203" spans="4:8">
      <c r="D203" s="30"/>
      <c r="E203" s="30"/>
      <c r="F203" s="30"/>
      <c r="G203" s="30"/>
      <c r="H203" s="30"/>
    </row>
    <row r="204" spans="4:8">
      <c r="D204" s="30"/>
      <c r="E204" s="30"/>
      <c r="F204" s="30"/>
      <c r="G204" s="30"/>
      <c r="H204" s="30"/>
    </row>
    <row r="205" spans="4:8">
      <c r="D205" s="30"/>
      <c r="E205" s="30"/>
      <c r="F205" s="30"/>
      <c r="G205" s="30"/>
      <c r="H205" s="30"/>
    </row>
    <row r="206" spans="4:8">
      <c r="D206" s="30"/>
      <c r="E206" s="30"/>
      <c r="F206" s="30"/>
      <c r="G206" s="30"/>
      <c r="H206" s="30"/>
    </row>
    <row r="207" spans="4:8">
      <c r="D207" s="30"/>
      <c r="E207" s="30"/>
      <c r="F207" s="30"/>
      <c r="G207" s="30"/>
      <c r="H207" s="30"/>
    </row>
    <row r="208" spans="4:8">
      <c r="D208" s="30"/>
      <c r="E208" s="30"/>
      <c r="F208" s="30"/>
      <c r="G208" s="30"/>
      <c r="H208" s="30"/>
    </row>
    <row r="209" spans="4:8">
      <c r="D209" s="30"/>
      <c r="E209" s="30"/>
      <c r="F209" s="30"/>
      <c r="G209" s="30"/>
      <c r="H209" s="30"/>
    </row>
    <row r="210" spans="4:8">
      <c r="D210" s="30"/>
      <c r="E210" s="30"/>
      <c r="F210" s="30"/>
      <c r="G210" s="30"/>
      <c r="H210" s="30"/>
    </row>
    <row r="211" spans="4:8">
      <c r="D211" s="30"/>
      <c r="E211" s="30"/>
      <c r="F211" s="30"/>
      <c r="G211" s="30"/>
      <c r="H211" s="30"/>
    </row>
    <row r="212" spans="4:8">
      <c r="D212" s="30"/>
      <c r="E212" s="30"/>
      <c r="F212" s="30"/>
      <c r="G212" s="30"/>
      <c r="H212" s="30"/>
    </row>
    <row r="213" spans="4:8">
      <c r="D213" s="30"/>
      <c r="E213" s="30"/>
      <c r="F213" s="30"/>
      <c r="G213" s="30"/>
      <c r="H213" s="30"/>
    </row>
    <row r="214" spans="4:8">
      <c r="D214" s="30"/>
      <c r="E214" s="30"/>
      <c r="F214" s="30"/>
      <c r="G214" s="30"/>
      <c r="H214" s="30"/>
    </row>
    <row r="215" spans="4:8">
      <c r="D215" s="30"/>
      <c r="E215" s="30"/>
      <c r="F215" s="30"/>
      <c r="G215" s="30"/>
      <c r="H215" s="30"/>
    </row>
    <row r="216" spans="4:8">
      <c r="D216" s="30"/>
      <c r="E216" s="30"/>
      <c r="F216" s="30"/>
      <c r="G216" s="30"/>
      <c r="H216" s="30"/>
    </row>
    <row r="217" spans="4:8">
      <c r="D217" s="30"/>
      <c r="E217" s="30"/>
      <c r="F217" s="30"/>
      <c r="G217" s="30"/>
      <c r="H217" s="30"/>
    </row>
    <row r="218" spans="4:8">
      <c r="D218" s="30"/>
      <c r="E218" s="30"/>
      <c r="F218" s="30"/>
      <c r="G218" s="30"/>
      <c r="H218" s="30"/>
    </row>
    <row r="219" spans="4:8">
      <c r="D219" s="30"/>
      <c r="E219" s="30"/>
      <c r="F219" s="30"/>
      <c r="G219" s="30"/>
      <c r="H219" s="30"/>
    </row>
    <row r="220" spans="4:8">
      <c r="D220" s="30"/>
      <c r="E220" s="30"/>
      <c r="F220" s="30"/>
      <c r="G220" s="30"/>
      <c r="H220" s="30"/>
    </row>
    <row r="221" spans="4:8">
      <c r="D221" s="30"/>
      <c r="E221" s="30"/>
      <c r="F221" s="30"/>
      <c r="G221" s="30"/>
      <c r="H221" s="30"/>
    </row>
    <row r="222" spans="4:8">
      <c r="D222" s="30"/>
      <c r="E222" s="30"/>
      <c r="F222" s="30"/>
      <c r="G222" s="30"/>
      <c r="H222" s="30"/>
    </row>
    <row r="223" spans="4:8">
      <c r="D223" s="30"/>
      <c r="E223" s="30"/>
      <c r="F223" s="30"/>
      <c r="G223" s="30"/>
      <c r="H223" s="30"/>
    </row>
    <row r="224" spans="4:8">
      <c r="D224" s="30"/>
      <c r="E224" s="30"/>
      <c r="F224" s="30"/>
      <c r="G224" s="30"/>
      <c r="H224" s="30"/>
    </row>
    <row r="225" spans="4:8">
      <c r="D225" s="30"/>
      <c r="E225" s="30"/>
      <c r="F225" s="30"/>
      <c r="G225" s="30"/>
      <c r="H225" s="30"/>
    </row>
    <row r="226" spans="4:8">
      <c r="D226" s="30"/>
      <c r="E226" s="30"/>
      <c r="F226" s="30"/>
      <c r="G226" s="30"/>
      <c r="H226" s="30"/>
    </row>
    <row r="227" spans="4:8">
      <c r="D227" s="30"/>
      <c r="E227" s="30"/>
      <c r="F227" s="30"/>
      <c r="G227" s="30"/>
      <c r="H227" s="30"/>
    </row>
    <row r="228" spans="4:8">
      <c r="D228" s="30"/>
      <c r="E228" s="30"/>
      <c r="F228" s="30"/>
      <c r="G228" s="30"/>
      <c r="H228" s="30"/>
    </row>
    <row r="229" spans="4:8">
      <c r="D229" s="30"/>
      <c r="E229" s="30"/>
      <c r="F229" s="30"/>
      <c r="G229" s="30"/>
      <c r="H229" s="30"/>
    </row>
    <row r="230" spans="4:8">
      <c r="D230" s="30"/>
      <c r="E230" s="30"/>
      <c r="F230" s="30"/>
      <c r="G230" s="30"/>
      <c r="H230" s="30"/>
    </row>
    <row r="231" spans="4:8">
      <c r="D231" s="30"/>
      <c r="E231" s="30"/>
      <c r="F231" s="30"/>
      <c r="G231" s="30"/>
      <c r="H231" s="30"/>
    </row>
    <row r="232" spans="4:8">
      <c r="D232" s="30"/>
      <c r="E232" s="30"/>
      <c r="F232" s="30"/>
      <c r="G232" s="30"/>
      <c r="H232" s="30"/>
    </row>
    <row r="233" spans="4:8">
      <c r="D233" s="30"/>
      <c r="E233" s="30"/>
      <c r="F233" s="30"/>
      <c r="G233" s="30"/>
      <c r="H233" s="30"/>
    </row>
    <row r="234" spans="4:8">
      <c r="D234" s="30"/>
      <c r="E234" s="30"/>
      <c r="F234" s="30"/>
      <c r="G234" s="30"/>
      <c r="H234" s="30"/>
    </row>
    <row r="235" spans="4:8">
      <c r="D235" s="30"/>
      <c r="E235" s="30"/>
      <c r="F235" s="30"/>
      <c r="G235" s="30"/>
      <c r="H235" s="30"/>
    </row>
    <row r="236" spans="4:8">
      <c r="D236" s="30"/>
      <c r="E236" s="30"/>
      <c r="F236" s="30"/>
      <c r="G236" s="30"/>
      <c r="H236" s="30"/>
    </row>
    <row r="237" spans="4:8">
      <c r="D237" s="30"/>
      <c r="E237" s="30"/>
      <c r="F237" s="30"/>
      <c r="G237" s="30"/>
      <c r="H237" s="30"/>
    </row>
    <row r="238" spans="4:8">
      <c r="D238" s="30"/>
      <c r="E238" s="30"/>
      <c r="F238" s="30"/>
      <c r="G238" s="30"/>
      <c r="H238" s="30"/>
    </row>
    <row r="239" spans="4:8">
      <c r="D239" s="30"/>
      <c r="E239" s="30"/>
      <c r="F239" s="30"/>
      <c r="G239" s="30"/>
      <c r="H239" s="30"/>
    </row>
    <row r="240" spans="4:8">
      <c r="D240" s="30"/>
      <c r="E240" s="30"/>
      <c r="F240" s="30"/>
      <c r="G240" s="30"/>
      <c r="H240" s="30"/>
    </row>
    <row r="241" spans="4:8">
      <c r="D241" s="30"/>
      <c r="E241" s="30"/>
      <c r="F241" s="30"/>
      <c r="G241" s="30"/>
      <c r="H241" s="30"/>
    </row>
    <row r="242" spans="4:8">
      <c r="D242" s="30"/>
      <c r="E242" s="30"/>
      <c r="F242" s="30"/>
      <c r="G242" s="30"/>
      <c r="H242" s="30"/>
    </row>
    <row r="243" spans="4:8">
      <c r="D243" s="30"/>
      <c r="E243" s="30"/>
      <c r="F243" s="30"/>
      <c r="G243" s="30"/>
      <c r="H243" s="30"/>
    </row>
    <row r="244" spans="4:8">
      <c r="D244" s="30"/>
      <c r="E244" s="30"/>
      <c r="F244" s="30"/>
      <c r="G244" s="30"/>
      <c r="H244" s="30"/>
    </row>
    <row r="245" spans="4:8">
      <c r="D245" s="30"/>
      <c r="E245" s="30"/>
      <c r="F245" s="30"/>
      <c r="G245" s="30"/>
      <c r="H245" s="30"/>
    </row>
    <row r="246" spans="4:8">
      <c r="D246" s="30"/>
      <c r="E246" s="30"/>
      <c r="F246" s="30"/>
      <c r="G246" s="30"/>
      <c r="H246" s="30"/>
    </row>
    <row r="247" spans="4:8">
      <c r="D247" s="30"/>
      <c r="E247" s="30"/>
      <c r="F247" s="30"/>
      <c r="G247" s="30"/>
      <c r="H247" s="30"/>
    </row>
    <row r="248" spans="4:8">
      <c r="D248" s="30"/>
      <c r="E248" s="30"/>
      <c r="F248" s="30"/>
      <c r="G248" s="30"/>
      <c r="H248" s="30"/>
    </row>
    <row r="249" spans="4:8">
      <c r="D249" s="30"/>
      <c r="E249" s="30"/>
      <c r="F249" s="30"/>
      <c r="G249" s="30"/>
      <c r="H249" s="30"/>
    </row>
    <row r="250" spans="4:8">
      <c r="D250" s="30"/>
      <c r="E250" s="30"/>
      <c r="F250" s="30"/>
      <c r="G250" s="30"/>
      <c r="H250" s="30"/>
    </row>
  </sheetData>
  <pageMargins left="0" right="0" top="0" bottom="0" header="0" footer="0"/>
  <pageSetup paperSize="9" scale="75"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95B02526-EC08-9847-A9AB-772AA20942E4}">
            <xm:f>'2. Notes and Assumptions'!$D$92="ERROR"</xm:f>
            <x14:dxf>
              <font>
                <color theme="0"/>
              </font>
              <fill>
                <patternFill patternType="solid">
                  <fgColor indexed="64"/>
                  <bgColor rgb="FFFF0000"/>
                </patternFill>
              </fill>
            </x14:dxf>
          </x14:cfRule>
          <x14:cfRule type="expression" priority="2" id="{25409ACF-E7B8-8B40-B953-795A9B484803}">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sheetPr codeName="Sheet16"/>
  <dimension ref="A1:H1320"/>
  <sheetViews>
    <sheetView zoomScaleNormal="100" workbookViewId="0">
      <pane ySplit="4" topLeftCell="A5" activePane="bottomLeft" state="frozen"/>
      <selection activeCell="A58" sqref="A58"/>
      <selection pane="bottomLeft" activeCell="B1320" sqref="B1320"/>
    </sheetView>
  </sheetViews>
  <sheetFormatPr defaultColWidth="10.6640625" defaultRowHeight="15"/>
  <cols>
    <col min="1" max="1" width="30.88671875" style="35" customWidth="1"/>
    <col min="2" max="2" width="39" style="2" customWidth="1"/>
    <col min="3" max="3" width="8.88671875" style="2" customWidth="1"/>
    <col min="4" max="4" width="13.33203125" style="2" customWidth="1"/>
    <col min="5" max="6" width="11" style="2" customWidth="1"/>
    <col min="7" max="7" width="12.77734375" style="2" customWidth="1"/>
    <col min="8" max="8" width="12.21875" style="2" customWidth="1"/>
    <col min="9" max="16384" width="10.6640625" style="2"/>
  </cols>
  <sheetData>
    <row r="1" spans="1:8" s="6" customFormat="1" ht="19.5" customHeight="1">
      <c r="A1" s="92" t="s">
        <v>115</v>
      </c>
      <c r="B1" s="92"/>
      <c r="C1" s="92"/>
      <c r="D1" s="92"/>
      <c r="E1" s="92"/>
      <c r="F1" s="92"/>
      <c r="G1" s="92"/>
    </row>
    <row r="2" spans="1:8" ht="18" customHeight="1">
      <c r="A2" s="3" t="str">
        <f ca="1">MID(CELL("filename",A1),FIND("]",CELL("filename",A1))+1,LEN(CELL("filename",A1))-FIND("]",CELL("filename",A1)))</f>
        <v>15. Water - Capex Tax BV</v>
      </c>
      <c r="B2" s="3"/>
      <c r="C2" s="3"/>
      <c r="D2" s="3"/>
      <c r="E2" s="3"/>
      <c r="F2" s="3"/>
      <c r="G2" s="3"/>
    </row>
    <row r="3" spans="1:8" s="6" customFormat="1">
      <c r="A3" s="35"/>
      <c r="B3" s="63"/>
      <c r="C3" s="16" t="s">
        <v>0</v>
      </c>
      <c r="D3" s="17">
        <v>1</v>
      </c>
      <c r="E3" s="17">
        <v>2</v>
      </c>
      <c r="F3" s="17">
        <v>3</v>
      </c>
      <c r="G3" s="17">
        <v>4</v>
      </c>
      <c r="H3" s="17">
        <v>5</v>
      </c>
    </row>
    <row r="4" spans="1:8" s="6" customFormat="1">
      <c r="A4" s="35"/>
      <c r="B4" s="65"/>
      <c r="C4" s="18" t="s">
        <v>1</v>
      </c>
      <c r="D4" s="19" t="s">
        <v>10</v>
      </c>
      <c r="E4" s="19" t="s">
        <v>11</v>
      </c>
      <c r="F4" s="19" t="s">
        <v>2</v>
      </c>
      <c r="G4" s="19" t="s">
        <v>3</v>
      </c>
      <c r="H4" s="19" t="s">
        <v>4</v>
      </c>
    </row>
    <row r="5" spans="1:8" ht="15.75">
      <c r="B5" s="10" t="s">
        <v>19</v>
      </c>
    </row>
    <row r="6" spans="1:8">
      <c r="B6" s="2" t="s">
        <v>20</v>
      </c>
      <c r="D6" s="67">
        <f ca="1">'3. General Model Inputs'!E8</f>
        <v>2.5000000000000001E-2</v>
      </c>
      <c r="E6" s="67">
        <f ca="1">'3. General Model Inputs'!F8</f>
        <v>2.5000000000000001E-2</v>
      </c>
      <c r="F6" s="67">
        <f ca="1">'3. General Model Inputs'!G8</f>
        <v>2.5000000000000001E-2</v>
      </c>
      <c r="G6" s="67">
        <f ca="1">'3. General Model Inputs'!H8</f>
        <v>2.5000000000000001E-2</v>
      </c>
      <c r="H6" s="67">
        <f ca="1">'3. General Model Inputs'!I8</f>
        <v>2.5000000000000001E-2</v>
      </c>
    </row>
    <row r="8" spans="1:8" ht="15.75">
      <c r="B8" s="10" t="s">
        <v>136</v>
      </c>
    </row>
    <row r="9" spans="1:8">
      <c r="B9" s="6" t="s">
        <v>117</v>
      </c>
      <c r="D9" s="46">
        <f>D390</f>
        <v>0</v>
      </c>
      <c r="E9" s="46">
        <f t="shared" ref="E9:H9" si="0">E390</f>
        <v>34183548.811695553</v>
      </c>
      <c r="F9" s="46">
        <f t="shared" si="0"/>
        <v>59858646.744307436</v>
      </c>
      <c r="G9" s="46">
        <f t="shared" si="0"/>
        <v>82322576.753921553</v>
      </c>
      <c r="H9" s="46">
        <f t="shared" si="0"/>
        <v>108590952.1634782</v>
      </c>
    </row>
    <row r="10" spans="1:8">
      <c r="B10" s="6" t="s">
        <v>27</v>
      </c>
      <c r="D10" s="46">
        <f>D576</f>
        <v>0</v>
      </c>
      <c r="E10" s="46">
        <f t="shared" ref="E10:H10" si="1">E576</f>
        <v>0</v>
      </c>
      <c r="F10" s="46">
        <f t="shared" si="1"/>
        <v>0</v>
      </c>
      <c r="G10" s="46">
        <f t="shared" si="1"/>
        <v>0</v>
      </c>
      <c r="H10" s="46">
        <f t="shared" si="1"/>
        <v>0</v>
      </c>
    </row>
    <row r="11" spans="1:8">
      <c r="B11" s="6" t="s">
        <v>18</v>
      </c>
      <c r="D11" s="46">
        <f>D762</f>
        <v>34643404.405000024</v>
      </c>
      <c r="E11" s="46">
        <f t="shared" ref="E11:H11" si="2">E762</f>
        <v>26993825.123333331</v>
      </c>
      <c r="F11" s="46">
        <f t="shared" si="2"/>
        <v>24440593.263872232</v>
      </c>
      <c r="G11" s="46">
        <f t="shared" si="2"/>
        <v>28868116.86681056</v>
      </c>
      <c r="H11" s="46">
        <f t="shared" si="2"/>
        <v>42188866.395676591</v>
      </c>
    </row>
    <row r="12" spans="1:8">
      <c r="B12" s="6" t="s">
        <v>12</v>
      </c>
      <c r="D12" s="46">
        <f>D948</f>
        <v>0</v>
      </c>
      <c r="E12" s="46">
        <f t="shared" ref="E12:H12" si="3">E948</f>
        <v>0</v>
      </c>
      <c r="F12" s="46">
        <f t="shared" si="3"/>
        <v>0</v>
      </c>
      <c r="G12" s="46">
        <f t="shared" si="3"/>
        <v>0</v>
      </c>
      <c r="H12" s="46">
        <f t="shared" si="3"/>
        <v>0</v>
      </c>
    </row>
    <row r="13" spans="1:8">
      <c r="B13" s="6" t="s">
        <v>13</v>
      </c>
      <c r="D13" s="46">
        <f>D1134</f>
        <v>-459855.59330447396</v>
      </c>
      <c r="E13" s="46">
        <f t="shared" ref="E13:H13" si="4">E1134</f>
        <v>-1318727.1907214185</v>
      </c>
      <c r="F13" s="46">
        <f t="shared" si="4"/>
        <v>-1976663.2542581148</v>
      </c>
      <c r="G13" s="46">
        <f t="shared" si="4"/>
        <v>-2599741.4572539525</v>
      </c>
      <c r="H13" s="46">
        <f t="shared" si="4"/>
        <v>-3382753.4445133056</v>
      </c>
    </row>
    <row r="14" spans="1:8">
      <c r="B14" s="6" t="s">
        <v>118</v>
      </c>
      <c r="D14" s="30">
        <f>D1320</f>
        <v>34183548.811695553</v>
      </c>
      <c r="E14" s="30">
        <f t="shared" ref="E14:H14" si="5">E1320</f>
        <v>59858646.744307436</v>
      </c>
      <c r="F14" s="30">
        <f t="shared" si="5"/>
        <v>82322576.753921553</v>
      </c>
      <c r="G14" s="30">
        <f t="shared" si="5"/>
        <v>108590952.1634782</v>
      </c>
      <c r="H14" s="30">
        <f t="shared" si="5"/>
        <v>147397065.11464134</v>
      </c>
    </row>
    <row r="15" spans="1:8">
      <c r="D15" s="30"/>
      <c r="E15" s="30"/>
      <c r="F15" s="30"/>
      <c r="G15" s="30"/>
      <c r="H15" s="30"/>
    </row>
    <row r="16" spans="1:8">
      <c r="B16" s="69" t="s">
        <v>133</v>
      </c>
      <c r="C16" s="12"/>
      <c r="D16" s="13">
        <f>SUM(D9:D13)-D14</f>
        <v>0</v>
      </c>
      <c r="E16" s="13">
        <f>SUM(E9:E13)-E14</f>
        <v>0</v>
      </c>
      <c r="F16" s="13">
        <f>SUM(F9:F13)-F14</f>
        <v>0</v>
      </c>
      <c r="G16" s="13">
        <f>SUM(G9:G13)-G14</f>
        <v>0</v>
      </c>
      <c r="H16" s="13">
        <f>SUM(H9:H13)-H14</f>
        <v>0</v>
      </c>
    </row>
    <row r="17" spans="2:8">
      <c r="B17" s="12" t="s">
        <v>135</v>
      </c>
      <c r="C17" s="12"/>
      <c r="D17" s="12"/>
      <c r="E17" s="12"/>
      <c r="F17" s="12"/>
      <c r="G17" s="12"/>
      <c r="H17" s="13">
        <f>SUM(D11:H11)-SUM('11. Water - Capex Input'!J5:J187)</f>
        <v>0</v>
      </c>
    </row>
    <row r="18" spans="2:8">
      <c r="B18" s="68"/>
    </row>
    <row r="19" spans="2:8" ht="15.75">
      <c r="B19" s="10" t="s">
        <v>56</v>
      </c>
    </row>
    <row r="20" spans="2:8" ht="15.75">
      <c r="B20" s="10" t="s">
        <v>48</v>
      </c>
    </row>
    <row r="21" spans="2:8">
      <c r="B21" s="152">
        <f>'11. Water - Capex Input'!F5</f>
        <v>0</v>
      </c>
      <c r="D21" s="30">
        <f>IF('11. Water - Capex Input'!$I5=D$3,'11. Water - Capex Input'!$G5,IF(C21&gt;1,C21-1,0))</f>
        <v>60</v>
      </c>
      <c r="E21" s="30">
        <f>IF('11. Water - Capex Input'!$I5=E$3,'11. Water - Capex Input'!$G5,IF(D21&gt;1,D21-1,0))</f>
        <v>59</v>
      </c>
      <c r="F21" s="30">
        <f>IF('11. Water - Capex Input'!$I5=F$3,'11. Water - Capex Input'!$G5,IF(E21&gt;1,E21-1,0))</f>
        <v>58</v>
      </c>
      <c r="G21" s="30">
        <f>IF('11. Water - Capex Input'!$I5=G$3,'11. Water - Capex Input'!$G5,IF(F21&gt;1,F21-1,0))</f>
        <v>57</v>
      </c>
      <c r="H21" s="30">
        <f>IF('11. Water - Capex Input'!$I5=H$3,'11. Water - Capex Input'!$G5,IF(G21&gt;1,G21-1,0))</f>
        <v>56</v>
      </c>
    </row>
    <row r="22" spans="2:8">
      <c r="B22" s="152">
        <f>'11. Water - Capex Input'!F6</f>
        <v>0</v>
      </c>
      <c r="D22" s="30">
        <f>IF('11. Water - Capex Input'!$I6=D$3,'11. Water - Capex Input'!$G6,IF(C22&gt;1,C22-1,0))</f>
        <v>0</v>
      </c>
      <c r="E22" s="30">
        <f>IF('11. Water - Capex Input'!$I6=E$3,'11. Water - Capex Input'!$G6,IF(D22&gt;1,D22-1,0))</f>
        <v>60</v>
      </c>
      <c r="F22" s="30">
        <f>IF('11. Water - Capex Input'!$I6=F$3,'11. Water - Capex Input'!$G6,IF(E22&gt;1,E22-1,0))</f>
        <v>59</v>
      </c>
      <c r="G22" s="30">
        <f>IF('11. Water - Capex Input'!$I6=G$3,'11. Water - Capex Input'!$G6,IF(F22&gt;1,F22-1,0))</f>
        <v>58</v>
      </c>
      <c r="H22" s="30">
        <f>IF('11. Water - Capex Input'!$I6=H$3,'11. Water - Capex Input'!$G6,IF(G22&gt;1,G22-1,0))</f>
        <v>57</v>
      </c>
    </row>
    <row r="23" spans="2:8">
      <c r="B23" s="152">
        <f>'11. Water - Capex Input'!F7</f>
        <v>0</v>
      </c>
      <c r="D23" s="30">
        <f>IF('11. Water - Capex Input'!$I7=D$3,'11. Water - Capex Input'!$G7,IF(C23&gt;1,C23-1,0))</f>
        <v>0</v>
      </c>
      <c r="E23" s="30">
        <f>IF('11. Water - Capex Input'!$I7=E$3,'11. Water - Capex Input'!$G7,IF(D23&gt;1,D23-1,0))</f>
        <v>0</v>
      </c>
      <c r="F23" s="30">
        <f>IF('11. Water - Capex Input'!$I7=F$3,'11. Water - Capex Input'!$G7,IF(E23&gt;1,E23-1,0))</f>
        <v>60</v>
      </c>
      <c r="G23" s="30">
        <f>IF('11. Water - Capex Input'!$I7=G$3,'11. Water - Capex Input'!$G7,IF(F23&gt;1,F23-1,0))</f>
        <v>59</v>
      </c>
      <c r="H23" s="30">
        <f>IF('11. Water - Capex Input'!$I7=H$3,'11. Water - Capex Input'!$G7,IF(G23&gt;1,G23-1,0))</f>
        <v>58</v>
      </c>
    </row>
    <row r="24" spans="2:8">
      <c r="B24" s="152">
        <f>'11. Water - Capex Input'!F8</f>
        <v>0</v>
      </c>
      <c r="D24" s="30">
        <f>IF('11. Water - Capex Input'!$I8=D$3,'11. Water - Capex Input'!$G8,IF(C24&gt;1,C24-1,0))</f>
        <v>15</v>
      </c>
      <c r="E24" s="30">
        <f>IF('11. Water - Capex Input'!$I8=E$3,'11. Water - Capex Input'!$G8,IF(D24&gt;1,D24-1,0))</f>
        <v>14</v>
      </c>
      <c r="F24" s="30">
        <f>IF('11. Water - Capex Input'!$I8=F$3,'11. Water - Capex Input'!$G8,IF(E24&gt;1,E24-1,0))</f>
        <v>13</v>
      </c>
      <c r="G24" s="30">
        <f>IF('11. Water - Capex Input'!$I8=G$3,'11. Water - Capex Input'!$G8,IF(F24&gt;1,F24-1,0))</f>
        <v>12</v>
      </c>
      <c r="H24" s="30">
        <f>IF('11. Water - Capex Input'!$I8=H$3,'11. Water - Capex Input'!$G8,IF(G24&gt;1,G24-1,0))</f>
        <v>11</v>
      </c>
    </row>
    <row r="25" spans="2:8">
      <c r="B25" s="152">
        <f>'11. Water - Capex Input'!F9</f>
        <v>0</v>
      </c>
      <c r="D25" s="30">
        <f>IF('11. Water - Capex Input'!$I9=D$3,'11. Water - Capex Input'!$G9,IF(C25&gt;1,C25-1,0))</f>
        <v>0</v>
      </c>
      <c r="E25" s="30">
        <f>IF('11. Water - Capex Input'!$I9=E$3,'11. Water - Capex Input'!$G9,IF(D25&gt;1,D25-1,0))</f>
        <v>15</v>
      </c>
      <c r="F25" s="30">
        <f>IF('11. Water - Capex Input'!$I9=F$3,'11. Water - Capex Input'!$G9,IF(E25&gt;1,E25-1,0))</f>
        <v>14</v>
      </c>
      <c r="G25" s="30">
        <f>IF('11. Water - Capex Input'!$I9=G$3,'11. Water - Capex Input'!$G9,IF(F25&gt;1,F25-1,0))</f>
        <v>13</v>
      </c>
      <c r="H25" s="30">
        <f>IF('11. Water - Capex Input'!$I9=H$3,'11. Water - Capex Input'!$G9,IF(G25&gt;1,G25-1,0))</f>
        <v>12</v>
      </c>
    </row>
    <row r="26" spans="2:8">
      <c r="B26" s="152">
        <f>'11. Water - Capex Input'!F10</f>
        <v>0</v>
      </c>
      <c r="D26" s="30">
        <f>IF('11. Water - Capex Input'!$I10=D$3,'11. Water - Capex Input'!$G10,IF(C26&gt;1,C26-1,0))</f>
        <v>60</v>
      </c>
      <c r="E26" s="30">
        <f>IF('11. Water - Capex Input'!$I10=E$3,'11. Water - Capex Input'!$G10,IF(D26&gt;1,D26-1,0))</f>
        <v>59</v>
      </c>
      <c r="F26" s="30">
        <f>IF('11. Water - Capex Input'!$I10=F$3,'11. Water - Capex Input'!$G10,IF(E26&gt;1,E26-1,0))</f>
        <v>58</v>
      </c>
      <c r="G26" s="30">
        <f>IF('11. Water - Capex Input'!$I10=G$3,'11. Water - Capex Input'!$G10,IF(F26&gt;1,F26-1,0))</f>
        <v>57</v>
      </c>
      <c r="H26" s="30">
        <f>IF('11. Water - Capex Input'!$I10=H$3,'11. Water - Capex Input'!$G10,IF(G26&gt;1,G26-1,0))</f>
        <v>56</v>
      </c>
    </row>
    <row r="27" spans="2:8">
      <c r="B27" s="152">
        <f>'11. Water - Capex Input'!F11</f>
        <v>0</v>
      </c>
      <c r="D27" s="30">
        <f>IF('11. Water - Capex Input'!$I11=D$3,'11. Water - Capex Input'!$G11,IF(C27&gt;1,C27-1,0))</f>
        <v>0</v>
      </c>
      <c r="E27" s="30">
        <f>IF('11. Water - Capex Input'!$I11=E$3,'11. Water - Capex Input'!$G11,IF(D27&gt;1,D27-1,0))</f>
        <v>60</v>
      </c>
      <c r="F27" s="30">
        <f>IF('11. Water - Capex Input'!$I11=F$3,'11. Water - Capex Input'!$G11,IF(E27&gt;1,E27-1,0))</f>
        <v>59</v>
      </c>
      <c r="G27" s="30">
        <f>IF('11. Water - Capex Input'!$I11=G$3,'11. Water - Capex Input'!$G11,IF(F27&gt;1,F27-1,0))</f>
        <v>58</v>
      </c>
      <c r="H27" s="30">
        <f>IF('11. Water - Capex Input'!$I11=H$3,'11. Water - Capex Input'!$G11,IF(G27&gt;1,G27-1,0))</f>
        <v>57</v>
      </c>
    </row>
    <row r="28" spans="2:8">
      <c r="B28" s="152">
        <f>'11. Water - Capex Input'!F12</f>
        <v>0</v>
      </c>
      <c r="D28" s="30">
        <f>IF('11. Water - Capex Input'!$I12=D$3,'11. Water - Capex Input'!$G12,IF(C28&gt;1,C28-1,0))</f>
        <v>0</v>
      </c>
      <c r="E28" s="30">
        <f>IF('11. Water - Capex Input'!$I12=E$3,'11. Water - Capex Input'!$G12,IF(D28&gt;1,D28-1,0))</f>
        <v>0</v>
      </c>
      <c r="F28" s="30">
        <f>IF('11. Water - Capex Input'!$I12=F$3,'11. Water - Capex Input'!$G12,IF(E28&gt;1,E28-1,0))</f>
        <v>60</v>
      </c>
      <c r="G28" s="30">
        <f>IF('11. Water - Capex Input'!$I12=G$3,'11. Water - Capex Input'!$G12,IF(F28&gt;1,F28-1,0))</f>
        <v>59</v>
      </c>
      <c r="H28" s="30">
        <f>IF('11. Water - Capex Input'!$I12=H$3,'11. Water - Capex Input'!$G12,IF(G28&gt;1,G28-1,0))</f>
        <v>58</v>
      </c>
    </row>
    <row r="29" spans="2:8">
      <c r="B29" s="152">
        <f>'11. Water - Capex Input'!F13</f>
        <v>0</v>
      </c>
      <c r="D29" s="30">
        <f>IF('11. Water - Capex Input'!$I13=D$3,'11. Water - Capex Input'!$G13,IF(C29&gt;1,C29-1,0))</f>
        <v>0</v>
      </c>
      <c r="E29" s="30">
        <f>IF('11. Water - Capex Input'!$I13=E$3,'11. Water - Capex Input'!$G13,IF(D29&gt;1,D29-1,0))</f>
        <v>0</v>
      </c>
      <c r="F29" s="30">
        <f>IF('11. Water - Capex Input'!$I13=F$3,'11. Water - Capex Input'!$G13,IF(E29&gt;1,E29-1,0))</f>
        <v>60</v>
      </c>
      <c r="G29" s="30">
        <f>IF('11. Water - Capex Input'!$I13=G$3,'11. Water - Capex Input'!$G13,IF(F29&gt;1,F29-1,0))</f>
        <v>59</v>
      </c>
      <c r="H29" s="30">
        <f>IF('11. Water - Capex Input'!$I13=H$3,'11. Water - Capex Input'!$G13,IF(G29&gt;1,G29-1,0))</f>
        <v>58</v>
      </c>
    </row>
    <row r="30" spans="2:8">
      <c r="B30" s="152">
        <f>'11. Water - Capex Input'!F14</f>
        <v>0</v>
      </c>
      <c r="D30" s="30">
        <f>IF('11. Water - Capex Input'!$I14=D$3,'11. Water - Capex Input'!$G14,IF(C30&gt;1,C30-1,0))</f>
        <v>0</v>
      </c>
      <c r="E30" s="30">
        <f>IF('11. Water - Capex Input'!$I14=E$3,'11. Water - Capex Input'!$G14,IF(D30&gt;1,D30-1,0))</f>
        <v>0</v>
      </c>
      <c r="F30" s="30">
        <f>IF('11. Water - Capex Input'!$I14=F$3,'11. Water - Capex Input'!$G14,IF(E30&gt;1,E30-1,0))</f>
        <v>0</v>
      </c>
      <c r="G30" s="30">
        <f>IF('11. Water - Capex Input'!$I14=G$3,'11. Water - Capex Input'!$G14,IF(F30&gt;1,F30-1,0))</f>
        <v>60</v>
      </c>
      <c r="H30" s="30">
        <f>IF('11. Water - Capex Input'!$I14=H$3,'11. Water - Capex Input'!$G14,IF(G30&gt;1,G30-1,0))</f>
        <v>59</v>
      </c>
    </row>
    <row r="31" spans="2:8">
      <c r="B31" s="152">
        <f>'11. Water - Capex Input'!F15</f>
        <v>0</v>
      </c>
      <c r="D31" s="30">
        <f>IF('11. Water - Capex Input'!$I15=D$3,'11. Water - Capex Input'!$G15,IF(C31&gt;1,C31-1,0))</f>
        <v>0</v>
      </c>
      <c r="E31" s="30">
        <f>IF('11. Water - Capex Input'!$I15=E$3,'11. Water - Capex Input'!$G15,IF(D31&gt;1,D31-1,0))</f>
        <v>0</v>
      </c>
      <c r="F31" s="30">
        <f>IF('11. Water - Capex Input'!$I15=F$3,'11. Water - Capex Input'!$G15,IF(E31&gt;1,E31-1,0))</f>
        <v>0</v>
      </c>
      <c r="G31" s="30">
        <f>IF('11. Water - Capex Input'!$I15=G$3,'11. Water - Capex Input'!$G15,IF(F31&gt;1,F31-1,0))</f>
        <v>0</v>
      </c>
      <c r="H31" s="30">
        <f>IF('11. Water - Capex Input'!$I15=H$3,'11. Water - Capex Input'!$G15,IF(G31&gt;1,G31-1,0))</f>
        <v>60</v>
      </c>
    </row>
    <row r="32" spans="2:8">
      <c r="B32" s="152">
        <f>'11. Water - Capex Input'!F16</f>
        <v>0</v>
      </c>
      <c r="D32" s="30">
        <f>IF('11. Water - Capex Input'!$I16=D$3,'11. Water - Capex Input'!$G16,IF(C32&gt;1,C32-1,0))</f>
        <v>80</v>
      </c>
      <c r="E32" s="30">
        <f>IF('11. Water - Capex Input'!$I16=E$3,'11. Water - Capex Input'!$G16,IF(D32&gt;1,D32-1,0))</f>
        <v>79</v>
      </c>
      <c r="F32" s="30">
        <f>IF('11. Water - Capex Input'!$I16=F$3,'11. Water - Capex Input'!$G16,IF(E32&gt;1,E32-1,0))</f>
        <v>78</v>
      </c>
      <c r="G32" s="30">
        <f>IF('11. Water - Capex Input'!$I16=G$3,'11. Water - Capex Input'!$G16,IF(F32&gt;1,F32-1,0))</f>
        <v>77</v>
      </c>
      <c r="H32" s="30">
        <f>IF('11. Water - Capex Input'!$I16=H$3,'11. Water - Capex Input'!$G16,IF(G32&gt;1,G32-1,0))</f>
        <v>76</v>
      </c>
    </row>
    <row r="33" spans="2:8">
      <c r="B33" s="152">
        <f>'11. Water - Capex Input'!F17</f>
        <v>0</v>
      </c>
      <c r="D33" s="30">
        <f>IF('11. Water - Capex Input'!$I17=D$3,'11. Water - Capex Input'!$G17,IF(C33&gt;1,C33-1,0))</f>
        <v>0</v>
      </c>
      <c r="E33" s="30">
        <f>IF('11. Water - Capex Input'!$I17=E$3,'11. Water - Capex Input'!$G17,IF(D33&gt;1,D33-1,0))</f>
        <v>80</v>
      </c>
      <c r="F33" s="30">
        <f>IF('11. Water - Capex Input'!$I17=F$3,'11. Water - Capex Input'!$G17,IF(E33&gt;1,E33-1,0))</f>
        <v>79</v>
      </c>
      <c r="G33" s="30">
        <f>IF('11. Water - Capex Input'!$I17=G$3,'11. Water - Capex Input'!$G17,IF(F33&gt;1,F33-1,0))</f>
        <v>78</v>
      </c>
      <c r="H33" s="30">
        <f>IF('11. Water - Capex Input'!$I17=H$3,'11. Water - Capex Input'!$G17,IF(G33&gt;1,G33-1,0))</f>
        <v>77</v>
      </c>
    </row>
    <row r="34" spans="2:8">
      <c r="B34" s="152">
        <f>'11. Water - Capex Input'!F18</f>
        <v>0</v>
      </c>
      <c r="D34" s="30">
        <f>IF('11. Water - Capex Input'!$I18=D$3,'11. Water - Capex Input'!$G18,IF(C34&gt;1,C34-1,0))</f>
        <v>0</v>
      </c>
      <c r="E34" s="30">
        <f>IF('11. Water - Capex Input'!$I18=E$3,'11. Water - Capex Input'!$G18,IF(D34&gt;1,D34-1,0))</f>
        <v>0</v>
      </c>
      <c r="F34" s="30">
        <f>IF('11. Water - Capex Input'!$I18=F$3,'11. Water - Capex Input'!$G18,IF(E34&gt;1,E34-1,0))</f>
        <v>80</v>
      </c>
      <c r="G34" s="30">
        <f>IF('11. Water - Capex Input'!$I18=G$3,'11. Water - Capex Input'!$G18,IF(F34&gt;1,F34-1,0))</f>
        <v>79</v>
      </c>
      <c r="H34" s="30">
        <f>IF('11. Water - Capex Input'!$I18=H$3,'11. Water - Capex Input'!$G18,IF(G34&gt;1,G34-1,0))</f>
        <v>78</v>
      </c>
    </row>
    <row r="35" spans="2:8">
      <c r="B35" s="152">
        <f>'11. Water - Capex Input'!F19</f>
        <v>0</v>
      </c>
      <c r="D35" s="30">
        <f>IF('11. Water - Capex Input'!$I19=D$3,'11. Water - Capex Input'!$G19,IF(C35&gt;1,C35-1,0))</f>
        <v>0</v>
      </c>
      <c r="E35" s="30">
        <f>IF('11. Water - Capex Input'!$I19=E$3,'11. Water - Capex Input'!$G19,IF(D35&gt;1,D35-1,0))</f>
        <v>0</v>
      </c>
      <c r="F35" s="30">
        <f>IF('11. Water - Capex Input'!$I19=F$3,'11. Water - Capex Input'!$G19,IF(E35&gt;1,E35-1,0))</f>
        <v>0</v>
      </c>
      <c r="G35" s="30">
        <f>IF('11. Water - Capex Input'!$I19=G$3,'11. Water - Capex Input'!$G19,IF(F35&gt;1,F35-1,0))</f>
        <v>80</v>
      </c>
      <c r="H35" s="30">
        <f>IF('11. Water - Capex Input'!$I19=H$3,'11. Water - Capex Input'!$G19,IF(G35&gt;1,G35-1,0))</f>
        <v>79</v>
      </c>
    </row>
    <row r="36" spans="2:8">
      <c r="B36" s="152">
        <f>'11. Water - Capex Input'!F20</f>
        <v>0</v>
      </c>
      <c r="D36" s="30">
        <f>IF('11. Water - Capex Input'!$I20=D$3,'11. Water - Capex Input'!$G20,IF(C36&gt;1,C36-1,0))</f>
        <v>0</v>
      </c>
      <c r="E36" s="30">
        <f>IF('11. Water - Capex Input'!$I20=E$3,'11. Water - Capex Input'!$G20,IF(D36&gt;1,D36-1,0))</f>
        <v>0</v>
      </c>
      <c r="F36" s="30">
        <f>IF('11. Water - Capex Input'!$I20=F$3,'11. Water - Capex Input'!$G20,IF(E36&gt;1,E36-1,0))</f>
        <v>0</v>
      </c>
      <c r="G36" s="30">
        <f>IF('11. Water - Capex Input'!$I20=G$3,'11. Water - Capex Input'!$G20,IF(F36&gt;1,F36-1,0))</f>
        <v>0</v>
      </c>
      <c r="H36" s="30">
        <f>IF('11. Water - Capex Input'!$I20=H$3,'11. Water - Capex Input'!$G20,IF(G36&gt;1,G36-1,0))</f>
        <v>80</v>
      </c>
    </row>
    <row r="37" spans="2:8">
      <c r="B37" s="152">
        <f>'11. Water - Capex Input'!F21</f>
        <v>0</v>
      </c>
      <c r="D37" s="30">
        <f>IF('11. Water - Capex Input'!$I21=D$3,'11. Water - Capex Input'!$G21,IF(C37&gt;1,C37-1,0))</f>
        <v>40</v>
      </c>
      <c r="E37" s="30">
        <f>IF('11. Water - Capex Input'!$I21=E$3,'11. Water - Capex Input'!$G21,IF(D37&gt;1,D37-1,0))</f>
        <v>39</v>
      </c>
      <c r="F37" s="30">
        <f>IF('11. Water - Capex Input'!$I21=F$3,'11. Water - Capex Input'!$G21,IF(E37&gt;1,E37-1,0))</f>
        <v>38</v>
      </c>
      <c r="G37" s="30">
        <f>IF('11. Water - Capex Input'!$I21=G$3,'11. Water - Capex Input'!$G21,IF(F37&gt;1,F37-1,0))</f>
        <v>37</v>
      </c>
      <c r="H37" s="30">
        <f>IF('11. Water - Capex Input'!$I21=H$3,'11. Water - Capex Input'!$G21,IF(G37&gt;1,G37-1,0))</f>
        <v>36</v>
      </c>
    </row>
    <row r="38" spans="2:8">
      <c r="B38" s="152">
        <f>'11. Water - Capex Input'!F22</f>
        <v>0</v>
      </c>
      <c r="D38" s="30">
        <f>IF('11. Water - Capex Input'!$I22=D$3,'11. Water - Capex Input'!$G22,IF(C38&gt;1,C38-1,0))</f>
        <v>0</v>
      </c>
      <c r="E38" s="30">
        <f>IF('11. Water - Capex Input'!$I22=E$3,'11. Water - Capex Input'!$G22,IF(D38&gt;1,D38-1,0))</f>
        <v>40</v>
      </c>
      <c r="F38" s="30">
        <f>IF('11. Water - Capex Input'!$I22=F$3,'11. Water - Capex Input'!$G22,IF(E38&gt;1,E38-1,0))</f>
        <v>39</v>
      </c>
      <c r="G38" s="30">
        <f>IF('11. Water - Capex Input'!$I22=G$3,'11. Water - Capex Input'!$G22,IF(F38&gt;1,F38-1,0))</f>
        <v>38</v>
      </c>
      <c r="H38" s="30">
        <f>IF('11. Water - Capex Input'!$I22=H$3,'11. Water - Capex Input'!$G22,IF(G38&gt;1,G38-1,0))</f>
        <v>37</v>
      </c>
    </row>
    <row r="39" spans="2:8">
      <c r="B39" s="152">
        <f>'11. Water - Capex Input'!F23</f>
        <v>0</v>
      </c>
      <c r="D39" s="30">
        <f>IF('11. Water - Capex Input'!$I23=D$3,'11. Water - Capex Input'!$G23,IF(C39&gt;1,C39-1,0))</f>
        <v>0</v>
      </c>
      <c r="E39" s="30">
        <f>IF('11. Water - Capex Input'!$I23=E$3,'11. Water - Capex Input'!$G23,IF(D39&gt;1,D39-1,0))</f>
        <v>0</v>
      </c>
      <c r="F39" s="30">
        <f>IF('11. Water - Capex Input'!$I23=F$3,'11. Water - Capex Input'!$G23,IF(E39&gt;1,E39-1,0))</f>
        <v>40</v>
      </c>
      <c r="G39" s="30">
        <f>IF('11. Water - Capex Input'!$I23=G$3,'11. Water - Capex Input'!$G23,IF(F39&gt;1,F39-1,0))</f>
        <v>39</v>
      </c>
      <c r="H39" s="30">
        <f>IF('11. Water - Capex Input'!$I23=H$3,'11. Water - Capex Input'!$G23,IF(G39&gt;1,G39-1,0))</f>
        <v>38</v>
      </c>
    </row>
    <row r="40" spans="2:8">
      <c r="B40" s="152">
        <f>'11. Water - Capex Input'!F24</f>
        <v>0</v>
      </c>
      <c r="D40" s="30">
        <f>IF('11. Water - Capex Input'!$I24=D$3,'11. Water - Capex Input'!$G24,IF(C40&gt;1,C40-1,0))</f>
        <v>0</v>
      </c>
      <c r="E40" s="30">
        <f>IF('11. Water - Capex Input'!$I24=E$3,'11. Water - Capex Input'!$G24,IF(D40&gt;1,D40-1,0))</f>
        <v>0</v>
      </c>
      <c r="F40" s="30">
        <f>IF('11. Water - Capex Input'!$I24=F$3,'11. Water - Capex Input'!$G24,IF(E40&gt;1,E40-1,0))</f>
        <v>50</v>
      </c>
      <c r="G40" s="30">
        <f>IF('11. Water - Capex Input'!$I24=G$3,'11. Water - Capex Input'!$G24,IF(F40&gt;1,F40-1,0))</f>
        <v>49</v>
      </c>
      <c r="H40" s="30">
        <f>IF('11. Water - Capex Input'!$I24=H$3,'11. Water - Capex Input'!$G24,IF(G40&gt;1,G40-1,0))</f>
        <v>48</v>
      </c>
    </row>
    <row r="41" spans="2:8">
      <c r="B41" s="152">
        <f>'11. Water - Capex Input'!F25</f>
        <v>0</v>
      </c>
      <c r="D41" s="30">
        <f>IF('11. Water - Capex Input'!$I25=D$3,'11. Water - Capex Input'!$G25,IF(C41&gt;1,C41-1,0))</f>
        <v>0</v>
      </c>
      <c r="E41" s="30">
        <f>IF('11. Water - Capex Input'!$I25=E$3,'11. Water - Capex Input'!$G25,IF(D41&gt;1,D41-1,0))</f>
        <v>0</v>
      </c>
      <c r="F41" s="30">
        <f>IF('11. Water - Capex Input'!$I25=F$3,'11. Water - Capex Input'!$G25,IF(E41&gt;1,E41-1,0))</f>
        <v>0</v>
      </c>
      <c r="G41" s="30">
        <f>IF('11. Water - Capex Input'!$I25=G$3,'11. Water - Capex Input'!$G25,IF(F41&gt;1,F41-1,0))</f>
        <v>50</v>
      </c>
      <c r="H41" s="30">
        <f>IF('11. Water - Capex Input'!$I25=H$3,'11. Water - Capex Input'!$G25,IF(G41&gt;1,G41-1,0))</f>
        <v>49</v>
      </c>
    </row>
    <row r="42" spans="2:8">
      <c r="B42" s="152">
        <f>'11. Water - Capex Input'!F26</f>
        <v>0</v>
      </c>
      <c r="D42" s="30">
        <f>IF('11. Water - Capex Input'!$I26=D$3,'11. Water - Capex Input'!$G26,IF(C42&gt;1,C42-1,0))</f>
        <v>0</v>
      </c>
      <c r="E42" s="30">
        <f>IF('11. Water - Capex Input'!$I26=E$3,'11. Water - Capex Input'!$G26,IF(D42&gt;1,D42-1,0))</f>
        <v>0</v>
      </c>
      <c r="F42" s="30">
        <f>IF('11. Water - Capex Input'!$I26=F$3,'11. Water - Capex Input'!$G26,IF(E42&gt;1,E42-1,0))</f>
        <v>0</v>
      </c>
      <c r="G42" s="30">
        <f>IF('11. Water - Capex Input'!$I26=G$3,'11. Water - Capex Input'!$G26,IF(F42&gt;1,F42-1,0))</f>
        <v>0</v>
      </c>
      <c r="H42" s="30">
        <f>IF('11. Water - Capex Input'!$I26=H$3,'11. Water - Capex Input'!$G26,IF(G42&gt;1,G42-1,0))</f>
        <v>50</v>
      </c>
    </row>
    <row r="43" spans="2:8">
      <c r="B43" s="152">
        <f>'11. Water - Capex Input'!F27</f>
        <v>0</v>
      </c>
      <c r="D43" s="30">
        <f>IF('11. Water - Capex Input'!$I27=D$3,'11. Water - Capex Input'!$G27,IF(C43&gt;1,C43-1,0))</f>
        <v>0</v>
      </c>
      <c r="E43" s="30">
        <f>IF('11. Water - Capex Input'!$I27=E$3,'11. Water - Capex Input'!$G27,IF(D43&gt;1,D43-1,0))</f>
        <v>30</v>
      </c>
      <c r="F43" s="30">
        <f>IF('11. Water - Capex Input'!$I27=F$3,'11. Water - Capex Input'!$G27,IF(E43&gt;1,E43-1,0))</f>
        <v>29</v>
      </c>
      <c r="G43" s="30">
        <f>IF('11. Water - Capex Input'!$I27=G$3,'11. Water - Capex Input'!$G27,IF(F43&gt;1,F43-1,0))</f>
        <v>28</v>
      </c>
      <c r="H43" s="30">
        <f>IF('11. Water - Capex Input'!$I27=H$3,'11. Water - Capex Input'!$G27,IF(G43&gt;1,G43-1,0))</f>
        <v>27</v>
      </c>
    </row>
    <row r="44" spans="2:8">
      <c r="B44" s="152">
        <f>'11. Water - Capex Input'!F28</f>
        <v>0</v>
      </c>
      <c r="D44" s="30">
        <f>IF('11. Water - Capex Input'!$I28=D$3,'11. Water - Capex Input'!$G28,IF(C44&gt;1,C44-1,0))</f>
        <v>0</v>
      </c>
      <c r="E44" s="30">
        <f>IF('11. Water - Capex Input'!$I28=E$3,'11. Water - Capex Input'!$G28,IF(D44&gt;1,D44-1,0))</f>
        <v>0</v>
      </c>
      <c r="F44" s="30">
        <f>IF('11. Water - Capex Input'!$I28=F$3,'11. Water - Capex Input'!$G28,IF(E44&gt;1,E44-1,0))</f>
        <v>30</v>
      </c>
      <c r="G44" s="30">
        <f>IF('11. Water - Capex Input'!$I28=G$3,'11. Water - Capex Input'!$G28,IF(F44&gt;1,F44-1,0))</f>
        <v>29</v>
      </c>
      <c r="H44" s="30">
        <f>IF('11. Water - Capex Input'!$I28=H$3,'11. Water - Capex Input'!$G28,IF(G44&gt;1,G44-1,0))</f>
        <v>28</v>
      </c>
    </row>
    <row r="45" spans="2:8">
      <c r="B45" s="152">
        <f>'11. Water - Capex Input'!F29</f>
        <v>0</v>
      </c>
      <c r="D45" s="30">
        <f>IF('11. Water - Capex Input'!$I29=D$3,'11. Water - Capex Input'!$G29,IF(C45&gt;1,C45-1,0))</f>
        <v>0</v>
      </c>
      <c r="E45" s="30">
        <f>IF('11. Water - Capex Input'!$I29=E$3,'11. Water - Capex Input'!$G29,IF(D45&gt;1,D45-1,0))</f>
        <v>0</v>
      </c>
      <c r="F45" s="30">
        <f>IF('11. Water - Capex Input'!$I29=F$3,'11. Water - Capex Input'!$G29,IF(E45&gt;1,E45-1,0))</f>
        <v>0</v>
      </c>
      <c r="G45" s="30">
        <f>IF('11. Water - Capex Input'!$I29=G$3,'11. Water - Capex Input'!$G29,IF(F45&gt;1,F45-1,0))</f>
        <v>30</v>
      </c>
      <c r="H45" s="30">
        <f>IF('11. Water - Capex Input'!$I29=H$3,'11. Water - Capex Input'!$G29,IF(G45&gt;1,G45-1,0))</f>
        <v>29</v>
      </c>
    </row>
    <row r="46" spans="2:8">
      <c r="B46" s="152">
        <f>'11. Water - Capex Input'!F30</f>
        <v>0</v>
      </c>
      <c r="D46" s="30">
        <f>IF('11. Water - Capex Input'!$I30=D$3,'11. Water - Capex Input'!$G30,IF(C46&gt;1,C46-1,0))</f>
        <v>0</v>
      </c>
      <c r="E46" s="30">
        <f>IF('11. Water - Capex Input'!$I30=E$3,'11. Water - Capex Input'!$G30,IF(D46&gt;1,D46-1,0))</f>
        <v>0</v>
      </c>
      <c r="F46" s="30">
        <f>IF('11. Water - Capex Input'!$I30=F$3,'11. Water - Capex Input'!$G30,IF(E46&gt;1,E46-1,0))</f>
        <v>0</v>
      </c>
      <c r="G46" s="30">
        <f>IF('11. Water - Capex Input'!$I30=G$3,'11. Water - Capex Input'!$G30,IF(F46&gt;1,F46-1,0))</f>
        <v>0</v>
      </c>
      <c r="H46" s="30">
        <f>IF('11. Water - Capex Input'!$I30=H$3,'11. Water - Capex Input'!$G30,IF(G46&gt;1,G46-1,0))</f>
        <v>30</v>
      </c>
    </row>
    <row r="47" spans="2:8">
      <c r="B47" s="152">
        <f>'11. Water - Capex Input'!F31</f>
        <v>0</v>
      </c>
      <c r="D47" s="30">
        <f>IF('11. Water - Capex Input'!$I31=D$3,'11. Water - Capex Input'!$G31,IF(C47&gt;1,C47-1,0))</f>
        <v>0</v>
      </c>
      <c r="E47" s="30">
        <f>IF('11. Water - Capex Input'!$I31=E$3,'11. Water - Capex Input'!$G31,IF(D47&gt;1,D47-1,0))</f>
        <v>0</v>
      </c>
      <c r="F47" s="30">
        <f>IF('11. Water - Capex Input'!$I31=F$3,'11. Water - Capex Input'!$G31,IF(E47&gt;1,E47-1,0))</f>
        <v>80</v>
      </c>
      <c r="G47" s="30">
        <f>IF('11. Water - Capex Input'!$I31=G$3,'11. Water - Capex Input'!$G31,IF(F47&gt;1,F47-1,0))</f>
        <v>79</v>
      </c>
      <c r="H47" s="30">
        <f>IF('11. Water - Capex Input'!$I31=H$3,'11. Water - Capex Input'!$G31,IF(G47&gt;1,G47-1,0))</f>
        <v>78</v>
      </c>
    </row>
    <row r="48" spans="2:8">
      <c r="B48" s="152">
        <f>'11. Water - Capex Input'!F32</f>
        <v>0</v>
      </c>
      <c r="D48" s="30">
        <f>IF('11. Water - Capex Input'!$I32=D$3,'11. Water - Capex Input'!$G32,IF(C48&gt;1,C48-1,0))</f>
        <v>0</v>
      </c>
      <c r="E48" s="30">
        <f>IF('11. Water - Capex Input'!$I32=E$3,'11. Water - Capex Input'!$G32,IF(D48&gt;1,D48-1,0))</f>
        <v>0</v>
      </c>
      <c r="F48" s="30">
        <f>IF('11. Water - Capex Input'!$I32=F$3,'11. Water - Capex Input'!$G32,IF(E48&gt;1,E48-1,0))</f>
        <v>0</v>
      </c>
      <c r="G48" s="30">
        <f>IF('11. Water - Capex Input'!$I32=G$3,'11. Water - Capex Input'!$G32,IF(F48&gt;1,F48-1,0))</f>
        <v>80</v>
      </c>
      <c r="H48" s="30">
        <f>IF('11. Water - Capex Input'!$I32=H$3,'11. Water - Capex Input'!$G32,IF(G48&gt;1,G48-1,0))</f>
        <v>79</v>
      </c>
    </row>
    <row r="49" spans="2:8">
      <c r="B49" s="152">
        <f>'11. Water - Capex Input'!F33</f>
        <v>0</v>
      </c>
      <c r="D49" s="30">
        <f>IF('11. Water - Capex Input'!$I33=D$3,'11. Water - Capex Input'!$G33,IF(C49&gt;1,C49-1,0))</f>
        <v>0</v>
      </c>
      <c r="E49" s="30">
        <f>IF('11. Water - Capex Input'!$I33=E$3,'11. Water - Capex Input'!$G33,IF(D49&gt;1,D49-1,0))</f>
        <v>0</v>
      </c>
      <c r="F49" s="30">
        <f>IF('11. Water - Capex Input'!$I33=F$3,'11. Water - Capex Input'!$G33,IF(E49&gt;1,E49-1,0))</f>
        <v>0</v>
      </c>
      <c r="G49" s="30">
        <f>IF('11. Water - Capex Input'!$I33=G$3,'11. Water - Capex Input'!$G33,IF(F49&gt;1,F49-1,0))</f>
        <v>0</v>
      </c>
      <c r="H49" s="30">
        <f>IF('11. Water - Capex Input'!$I33=H$3,'11. Water - Capex Input'!$G33,IF(G49&gt;1,G49-1,0))</f>
        <v>80</v>
      </c>
    </row>
    <row r="50" spans="2:8">
      <c r="B50" s="152">
        <f>'11. Water - Capex Input'!F34</f>
        <v>0</v>
      </c>
      <c r="D50" s="30">
        <f>IF('11. Water - Capex Input'!$I34=D$3,'11. Water - Capex Input'!$G34,IF(C50&gt;1,C50-1,0))</f>
        <v>0</v>
      </c>
      <c r="E50" s="30">
        <f>IF('11. Water - Capex Input'!$I34=E$3,'11. Water - Capex Input'!$G34,IF(D50&gt;1,D50-1,0))</f>
        <v>40</v>
      </c>
      <c r="F50" s="30">
        <f>IF('11. Water - Capex Input'!$I34=F$3,'11. Water - Capex Input'!$G34,IF(E50&gt;1,E50-1,0))</f>
        <v>39</v>
      </c>
      <c r="G50" s="30">
        <f>IF('11. Water - Capex Input'!$I34=G$3,'11. Water - Capex Input'!$G34,IF(F50&gt;1,F50-1,0))</f>
        <v>38</v>
      </c>
      <c r="H50" s="30">
        <f>IF('11. Water - Capex Input'!$I34=H$3,'11. Water - Capex Input'!$G34,IF(G50&gt;1,G50-1,0))</f>
        <v>37</v>
      </c>
    </row>
    <row r="51" spans="2:8">
      <c r="B51" s="152">
        <f>'11. Water - Capex Input'!F35</f>
        <v>0</v>
      </c>
      <c r="D51" s="30">
        <f>IF('11. Water - Capex Input'!$I35=D$3,'11. Water - Capex Input'!$G35,IF(C51&gt;1,C51-1,0))</f>
        <v>0</v>
      </c>
      <c r="E51" s="30">
        <f>IF('11. Water - Capex Input'!$I35=E$3,'11. Water - Capex Input'!$G35,IF(D51&gt;1,D51-1,0))</f>
        <v>0</v>
      </c>
      <c r="F51" s="30">
        <f>IF('11. Water - Capex Input'!$I35=F$3,'11. Water - Capex Input'!$G35,IF(E51&gt;1,E51-1,0))</f>
        <v>40</v>
      </c>
      <c r="G51" s="30">
        <f>IF('11. Water - Capex Input'!$I35=G$3,'11. Water - Capex Input'!$G35,IF(F51&gt;1,F51-1,0))</f>
        <v>39</v>
      </c>
      <c r="H51" s="30">
        <f>IF('11. Water - Capex Input'!$I35=H$3,'11. Water - Capex Input'!$G35,IF(G51&gt;1,G51-1,0))</f>
        <v>38</v>
      </c>
    </row>
    <row r="52" spans="2:8">
      <c r="B52" s="152">
        <f>'11. Water - Capex Input'!F36</f>
        <v>0</v>
      </c>
      <c r="D52" s="30">
        <f>IF('11. Water - Capex Input'!$I36=D$3,'11. Water - Capex Input'!$G36,IF(C52&gt;1,C52-1,0))</f>
        <v>0</v>
      </c>
      <c r="E52" s="30">
        <f>IF('11. Water - Capex Input'!$I36=E$3,'11. Water - Capex Input'!$G36,IF(D52&gt;1,D52-1,0))</f>
        <v>0</v>
      </c>
      <c r="F52" s="30">
        <f>IF('11. Water - Capex Input'!$I36=F$3,'11. Water - Capex Input'!$G36,IF(E52&gt;1,E52-1,0))</f>
        <v>0</v>
      </c>
      <c r="G52" s="30">
        <f>IF('11. Water - Capex Input'!$I36=G$3,'11. Water - Capex Input'!$G36,IF(F52&gt;1,F52-1,0))</f>
        <v>40</v>
      </c>
      <c r="H52" s="30">
        <f>IF('11. Water - Capex Input'!$I36=H$3,'11. Water - Capex Input'!$G36,IF(G52&gt;1,G52-1,0))</f>
        <v>39</v>
      </c>
    </row>
    <row r="53" spans="2:8">
      <c r="B53" s="152">
        <f>'11. Water - Capex Input'!F37</f>
        <v>0</v>
      </c>
      <c r="D53" s="30">
        <f>IF('11. Water - Capex Input'!$I37=D$3,'11. Water - Capex Input'!$G37,IF(C53&gt;1,C53-1,0))</f>
        <v>0</v>
      </c>
      <c r="E53" s="30">
        <f>IF('11. Water - Capex Input'!$I37=E$3,'11. Water - Capex Input'!$G37,IF(D53&gt;1,D53-1,0))</f>
        <v>0</v>
      </c>
      <c r="F53" s="30">
        <f>IF('11. Water - Capex Input'!$I37=F$3,'11. Water - Capex Input'!$G37,IF(E53&gt;1,E53-1,0))</f>
        <v>0</v>
      </c>
      <c r="G53" s="30">
        <f>IF('11. Water - Capex Input'!$I37=G$3,'11. Water - Capex Input'!$G37,IF(F53&gt;1,F53-1,0))</f>
        <v>0</v>
      </c>
      <c r="H53" s="30">
        <f>IF('11. Water - Capex Input'!$I37=H$3,'11. Water - Capex Input'!$G37,IF(G53&gt;1,G53-1,0))</f>
        <v>40</v>
      </c>
    </row>
    <row r="54" spans="2:8">
      <c r="B54" s="152">
        <f>'11. Water - Capex Input'!F38</f>
        <v>0</v>
      </c>
      <c r="D54" s="30">
        <f>IF('11. Water - Capex Input'!$I38=D$3,'11. Water - Capex Input'!$G38,IF(C54&gt;1,C54-1,0))</f>
        <v>50</v>
      </c>
      <c r="E54" s="30">
        <f>IF('11. Water - Capex Input'!$I38=E$3,'11. Water - Capex Input'!$G38,IF(D54&gt;1,D54-1,0))</f>
        <v>49</v>
      </c>
      <c r="F54" s="30">
        <f>IF('11. Water - Capex Input'!$I38=F$3,'11. Water - Capex Input'!$G38,IF(E54&gt;1,E54-1,0))</f>
        <v>48</v>
      </c>
      <c r="G54" s="30">
        <f>IF('11. Water - Capex Input'!$I38=G$3,'11. Water - Capex Input'!$G38,IF(F54&gt;1,F54-1,0))</f>
        <v>47</v>
      </c>
      <c r="H54" s="30">
        <f>IF('11. Water - Capex Input'!$I38=H$3,'11. Water - Capex Input'!$G38,IF(G54&gt;1,G54-1,0))</f>
        <v>46</v>
      </c>
    </row>
    <row r="55" spans="2:8">
      <c r="B55" s="152">
        <f>'11. Water - Capex Input'!F39</f>
        <v>0</v>
      </c>
      <c r="D55" s="30">
        <f>IF('11. Water - Capex Input'!$I39=D$3,'11. Water - Capex Input'!$G39,IF(C55&gt;1,C55-1,0))</f>
        <v>0</v>
      </c>
      <c r="E55" s="30">
        <f>IF('11. Water - Capex Input'!$I39=E$3,'11. Water - Capex Input'!$G39,IF(D55&gt;1,D55-1,0))</f>
        <v>50</v>
      </c>
      <c r="F55" s="30">
        <f>IF('11. Water - Capex Input'!$I39=F$3,'11. Water - Capex Input'!$G39,IF(E55&gt;1,E55-1,0))</f>
        <v>49</v>
      </c>
      <c r="G55" s="30">
        <f>IF('11. Water - Capex Input'!$I39=G$3,'11. Water - Capex Input'!$G39,IF(F55&gt;1,F55-1,0))</f>
        <v>48</v>
      </c>
      <c r="H55" s="30">
        <f>IF('11. Water - Capex Input'!$I39=H$3,'11. Water - Capex Input'!$G39,IF(G55&gt;1,G55-1,0))</f>
        <v>47</v>
      </c>
    </row>
    <row r="56" spans="2:8">
      <c r="B56" s="152">
        <f>'11. Water - Capex Input'!F40</f>
        <v>0</v>
      </c>
      <c r="D56" s="30">
        <f>IF('11. Water - Capex Input'!$I40=D$3,'11. Water - Capex Input'!$G40,IF(C56&gt;1,C56-1,0))</f>
        <v>80</v>
      </c>
      <c r="E56" s="30">
        <f>IF('11. Water - Capex Input'!$I40=E$3,'11. Water - Capex Input'!$G40,IF(D56&gt;1,D56-1,0))</f>
        <v>79</v>
      </c>
      <c r="F56" s="30">
        <f>IF('11. Water - Capex Input'!$I40=F$3,'11. Water - Capex Input'!$G40,IF(E56&gt;1,E56-1,0))</f>
        <v>78</v>
      </c>
      <c r="G56" s="30">
        <f>IF('11. Water - Capex Input'!$I40=G$3,'11. Water - Capex Input'!$G40,IF(F56&gt;1,F56-1,0))</f>
        <v>77</v>
      </c>
      <c r="H56" s="30">
        <f>IF('11. Water - Capex Input'!$I40=H$3,'11. Water - Capex Input'!$G40,IF(G56&gt;1,G56-1,0))</f>
        <v>76</v>
      </c>
    </row>
    <row r="57" spans="2:8">
      <c r="B57" s="152">
        <f>'11. Water - Capex Input'!F41</f>
        <v>0</v>
      </c>
      <c r="D57" s="30">
        <f>IF('11. Water - Capex Input'!$I41=D$3,'11. Water - Capex Input'!$G41,IF(C57&gt;1,C57-1,0))</f>
        <v>0</v>
      </c>
      <c r="E57" s="30">
        <f>IF('11. Water - Capex Input'!$I41=E$3,'11. Water - Capex Input'!$G41,IF(D57&gt;1,D57-1,0))</f>
        <v>80</v>
      </c>
      <c r="F57" s="30">
        <f>IF('11. Water - Capex Input'!$I41=F$3,'11. Water - Capex Input'!$G41,IF(E57&gt;1,E57-1,0))</f>
        <v>79</v>
      </c>
      <c r="G57" s="30">
        <f>IF('11. Water - Capex Input'!$I41=G$3,'11. Water - Capex Input'!$G41,IF(F57&gt;1,F57-1,0))</f>
        <v>78</v>
      </c>
      <c r="H57" s="30">
        <f>IF('11. Water - Capex Input'!$I41=H$3,'11. Water - Capex Input'!$G41,IF(G57&gt;1,G57-1,0))</f>
        <v>77</v>
      </c>
    </row>
    <row r="58" spans="2:8">
      <c r="B58" s="152">
        <f>'11. Water - Capex Input'!F42</f>
        <v>0</v>
      </c>
      <c r="D58" s="30">
        <f>IF('11. Water - Capex Input'!$I42=D$3,'11. Water - Capex Input'!$G42,IF(C58&gt;1,C58-1,0))</f>
        <v>0</v>
      </c>
      <c r="E58" s="30">
        <f>IF('11. Water - Capex Input'!$I42=E$3,'11. Water - Capex Input'!$G42,IF(D58&gt;1,D58-1,0))</f>
        <v>0</v>
      </c>
      <c r="F58" s="30">
        <f>IF('11. Water - Capex Input'!$I42=F$3,'11. Water - Capex Input'!$G42,IF(E58&gt;1,E58-1,0))</f>
        <v>0</v>
      </c>
      <c r="G58" s="30">
        <f>IF('11. Water - Capex Input'!$I42=G$3,'11. Water - Capex Input'!$G42,IF(F58&gt;1,F58-1,0))</f>
        <v>60</v>
      </c>
      <c r="H58" s="30">
        <f>IF('11. Water - Capex Input'!$I42=H$3,'11. Water - Capex Input'!$G42,IF(G58&gt;1,G58-1,0))</f>
        <v>59</v>
      </c>
    </row>
    <row r="59" spans="2:8">
      <c r="B59" s="152">
        <f>'11. Water - Capex Input'!F43</f>
        <v>0</v>
      </c>
      <c r="D59" s="30">
        <f>IF('11. Water - Capex Input'!$I43=D$3,'11. Water - Capex Input'!$G43,IF(C59&gt;1,C59-1,0))</f>
        <v>0</v>
      </c>
      <c r="E59" s="30">
        <f>IF('11. Water - Capex Input'!$I43=E$3,'11. Water - Capex Input'!$G43,IF(D59&gt;1,D59-1,0))</f>
        <v>0</v>
      </c>
      <c r="F59" s="30">
        <f>IF('11. Water - Capex Input'!$I43=F$3,'11. Water - Capex Input'!$G43,IF(E59&gt;1,E59-1,0))</f>
        <v>0</v>
      </c>
      <c r="G59" s="30">
        <f>IF('11. Water - Capex Input'!$I43=G$3,'11. Water - Capex Input'!$G43,IF(F59&gt;1,F59-1,0))</f>
        <v>0</v>
      </c>
      <c r="H59" s="30">
        <f>IF('11. Water - Capex Input'!$I43=H$3,'11. Water - Capex Input'!$G43,IF(G59&gt;1,G59-1,0))</f>
        <v>60</v>
      </c>
    </row>
    <row r="60" spans="2:8">
      <c r="B60" s="152">
        <f>'11. Water - Capex Input'!F44</f>
        <v>0</v>
      </c>
      <c r="D60" s="30">
        <f>IF('11. Water - Capex Input'!$I44=D$3,'11. Water - Capex Input'!$G44,IF(C60&gt;1,C60-1,0))</f>
        <v>0</v>
      </c>
      <c r="E60" s="30">
        <f>IF('11. Water - Capex Input'!$I44=E$3,'11. Water - Capex Input'!$G44,IF(D60&gt;1,D60-1,0))</f>
        <v>0</v>
      </c>
      <c r="F60" s="30">
        <f>IF('11. Water - Capex Input'!$I44=F$3,'11. Water - Capex Input'!$G44,IF(E60&gt;1,E60-1,0))</f>
        <v>80</v>
      </c>
      <c r="G60" s="30">
        <f>IF('11. Water - Capex Input'!$I44=G$3,'11. Water - Capex Input'!$G44,IF(F60&gt;1,F60-1,0))</f>
        <v>79</v>
      </c>
      <c r="H60" s="30">
        <f>IF('11. Water - Capex Input'!$I44=H$3,'11. Water - Capex Input'!$G44,IF(G60&gt;1,G60-1,0))</f>
        <v>78</v>
      </c>
    </row>
    <row r="61" spans="2:8">
      <c r="B61" s="152">
        <f>'11. Water - Capex Input'!F45</f>
        <v>0</v>
      </c>
      <c r="D61" s="30">
        <f>IF('11. Water - Capex Input'!$I45=D$3,'11. Water - Capex Input'!$G45,IF(C61&gt;1,C61-1,0))</f>
        <v>0</v>
      </c>
      <c r="E61" s="30">
        <f>IF('11. Water - Capex Input'!$I45=E$3,'11. Water - Capex Input'!$G45,IF(D61&gt;1,D61-1,0))</f>
        <v>0</v>
      </c>
      <c r="F61" s="30">
        <f>IF('11. Water - Capex Input'!$I45=F$3,'11. Water - Capex Input'!$G45,IF(E61&gt;1,E61-1,0))</f>
        <v>0</v>
      </c>
      <c r="G61" s="30">
        <f>IF('11. Water - Capex Input'!$I45=G$3,'11. Water - Capex Input'!$G45,IF(F61&gt;1,F61-1,0))</f>
        <v>80</v>
      </c>
      <c r="H61" s="30">
        <f>IF('11. Water - Capex Input'!$I45=H$3,'11. Water - Capex Input'!$G45,IF(G61&gt;1,G61-1,0))</f>
        <v>79</v>
      </c>
    </row>
    <row r="62" spans="2:8">
      <c r="B62" s="152">
        <f>'11. Water - Capex Input'!F46</f>
        <v>0</v>
      </c>
      <c r="D62" s="30">
        <f>IF('11. Water - Capex Input'!$I46=D$3,'11. Water - Capex Input'!$G46,IF(C62&gt;1,C62-1,0))</f>
        <v>0</v>
      </c>
      <c r="E62" s="30">
        <f>IF('11. Water - Capex Input'!$I46=E$3,'11. Water - Capex Input'!$G46,IF(D62&gt;1,D62-1,0))</f>
        <v>0</v>
      </c>
      <c r="F62" s="30">
        <f>IF('11. Water - Capex Input'!$I46=F$3,'11. Water - Capex Input'!$G46,IF(E62&gt;1,E62-1,0))</f>
        <v>0</v>
      </c>
      <c r="G62" s="30">
        <f>IF('11. Water - Capex Input'!$I46=G$3,'11. Water - Capex Input'!$G46,IF(F62&gt;1,F62-1,0))</f>
        <v>0</v>
      </c>
      <c r="H62" s="30">
        <f>IF('11. Water - Capex Input'!$I46=H$3,'11. Water - Capex Input'!$G46,IF(G62&gt;1,G62-1,0))</f>
        <v>80</v>
      </c>
    </row>
    <row r="63" spans="2:8">
      <c r="B63" s="152">
        <f>'11. Water - Capex Input'!F47</f>
        <v>0</v>
      </c>
      <c r="D63" s="30">
        <f>IF('11. Water - Capex Input'!$I47=D$3,'11. Water - Capex Input'!$G47,IF(C63&gt;1,C63-1,0))</f>
        <v>40</v>
      </c>
      <c r="E63" s="30">
        <f>IF('11. Water - Capex Input'!$I47=E$3,'11. Water - Capex Input'!$G47,IF(D63&gt;1,D63-1,0))</f>
        <v>39</v>
      </c>
      <c r="F63" s="30">
        <f>IF('11. Water - Capex Input'!$I47=F$3,'11. Water - Capex Input'!$G47,IF(E63&gt;1,E63-1,0))</f>
        <v>38</v>
      </c>
      <c r="G63" s="30">
        <f>IF('11. Water - Capex Input'!$I47=G$3,'11. Water - Capex Input'!$G47,IF(F63&gt;1,F63-1,0))</f>
        <v>37</v>
      </c>
      <c r="H63" s="30">
        <f>IF('11. Water - Capex Input'!$I47=H$3,'11. Water - Capex Input'!$G47,IF(G63&gt;1,G63-1,0))</f>
        <v>36</v>
      </c>
    </row>
    <row r="64" spans="2:8">
      <c r="B64" s="152">
        <f>'11. Water - Capex Input'!F48</f>
        <v>0</v>
      </c>
      <c r="D64" s="30">
        <f>IF('11. Water - Capex Input'!$I48=D$3,'11. Water - Capex Input'!$G48,IF(C64&gt;1,C64-1,0))</f>
        <v>0</v>
      </c>
      <c r="E64" s="30">
        <f>IF('11. Water - Capex Input'!$I48=E$3,'11. Water - Capex Input'!$G48,IF(D64&gt;1,D64-1,0))</f>
        <v>40</v>
      </c>
      <c r="F64" s="30">
        <f>IF('11. Water - Capex Input'!$I48=F$3,'11. Water - Capex Input'!$G48,IF(E64&gt;1,E64-1,0))</f>
        <v>39</v>
      </c>
      <c r="G64" s="30">
        <f>IF('11. Water - Capex Input'!$I48=G$3,'11. Water - Capex Input'!$G48,IF(F64&gt;1,F64-1,0))</f>
        <v>38</v>
      </c>
      <c r="H64" s="30">
        <f>IF('11. Water - Capex Input'!$I48=H$3,'11. Water - Capex Input'!$G48,IF(G64&gt;1,G64-1,0))</f>
        <v>37</v>
      </c>
    </row>
    <row r="65" spans="2:8">
      <c r="B65" s="152">
        <f>'11. Water - Capex Input'!F49</f>
        <v>0</v>
      </c>
      <c r="D65" s="30">
        <f>IF('11. Water - Capex Input'!$I49=D$3,'11. Water - Capex Input'!$G49,IF(C65&gt;1,C65-1,0))</f>
        <v>0</v>
      </c>
      <c r="E65" s="30">
        <f>IF('11. Water - Capex Input'!$I49=E$3,'11. Water - Capex Input'!$G49,IF(D65&gt;1,D65-1,0))</f>
        <v>0</v>
      </c>
      <c r="F65" s="30">
        <f>IF('11. Water - Capex Input'!$I49=F$3,'11. Water - Capex Input'!$G49,IF(E65&gt;1,E65-1,0))</f>
        <v>40</v>
      </c>
      <c r="G65" s="30">
        <f>IF('11. Water - Capex Input'!$I49=G$3,'11. Water - Capex Input'!$G49,IF(F65&gt;1,F65-1,0))</f>
        <v>39</v>
      </c>
      <c r="H65" s="30">
        <f>IF('11. Water - Capex Input'!$I49=H$3,'11. Water - Capex Input'!$G49,IF(G65&gt;1,G65-1,0))</f>
        <v>38</v>
      </c>
    </row>
    <row r="66" spans="2:8">
      <c r="B66" s="152">
        <f>'11. Water - Capex Input'!F50</f>
        <v>0</v>
      </c>
      <c r="D66" s="30">
        <f>IF('11. Water - Capex Input'!$I50=D$3,'11. Water - Capex Input'!$G50,IF(C66&gt;1,C66-1,0))</f>
        <v>0</v>
      </c>
      <c r="E66" s="30">
        <f>IF('11. Water - Capex Input'!$I50=E$3,'11. Water - Capex Input'!$G50,IF(D66&gt;1,D66-1,0))</f>
        <v>40</v>
      </c>
      <c r="F66" s="30">
        <f>IF('11. Water - Capex Input'!$I50=F$3,'11. Water - Capex Input'!$G50,IF(E66&gt;1,E66-1,0))</f>
        <v>39</v>
      </c>
      <c r="G66" s="30">
        <f>IF('11. Water - Capex Input'!$I50=G$3,'11. Water - Capex Input'!$G50,IF(F66&gt;1,F66-1,0))</f>
        <v>38</v>
      </c>
      <c r="H66" s="30">
        <f>IF('11. Water - Capex Input'!$I50=H$3,'11. Water - Capex Input'!$G50,IF(G66&gt;1,G66-1,0))</f>
        <v>37</v>
      </c>
    </row>
    <row r="67" spans="2:8">
      <c r="B67" s="152">
        <f>'11. Water - Capex Input'!F51</f>
        <v>0</v>
      </c>
      <c r="D67" s="30">
        <f>IF('11. Water - Capex Input'!$I51=D$3,'11. Water - Capex Input'!$G51,IF(C67&gt;1,C67-1,0))</f>
        <v>0</v>
      </c>
      <c r="E67" s="30">
        <f>IF('11. Water - Capex Input'!$I51=E$3,'11. Water - Capex Input'!$G51,IF(D67&gt;1,D67-1,0))</f>
        <v>0</v>
      </c>
      <c r="F67" s="30">
        <f>IF('11. Water - Capex Input'!$I51=F$3,'11. Water - Capex Input'!$G51,IF(E67&gt;1,E67-1,0))</f>
        <v>40</v>
      </c>
      <c r="G67" s="30">
        <f>IF('11. Water - Capex Input'!$I51=G$3,'11. Water - Capex Input'!$G51,IF(F67&gt;1,F67-1,0))</f>
        <v>39</v>
      </c>
      <c r="H67" s="30">
        <f>IF('11. Water - Capex Input'!$I51=H$3,'11. Water - Capex Input'!$G51,IF(G67&gt;1,G67-1,0))</f>
        <v>38</v>
      </c>
    </row>
    <row r="68" spans="2:8">
      <c r="B68" s="152">
        <f>'11. Water - Capex Input'!F52</f>
        <v>0</v>
      </c>
      <c r="D68" s="30">
        <f>IF('11. Water - Capex Input'!$I52=D$3,'11. Water - Capex Input'!$G52,IF(C68&gt;1,C68-1,0))</f>
        <v>0</v>
      </c>
      <c r="E68" s="30">
        <f>IF('11. Water - Capex Input'!$I52=E$3,'11. Water - Capex Input'!$G52,IF(D68&gt;1,D68-1,0))</f>
        <v>0</v>
      </c>
      <c r="F68" s="30">
        <f>IF('11. Water - Capex Input'!$I52=F$3,'11. Water - Capex Input'!$G52,IF(E68&gt;1,E68-1,0))</f>
        <v>0</v>
      </c>
      <c r="G68" s="30">
        <f>IF('11. Water - Capex Input'!$I52=G$3,'11. Water - Capex Input'!$G52,IF(F68&gt;1,F68-1,0))</f>
        <v>40</v>
      </c>
      <c r="H68" s="30">
        <f>IF('11. Water - Capex Input'!$I52=H$3,'11. Water - Capex Input'!$G52,IF(G68&gt;1,G68-1,0))</f>
        <v>39</v>
      </c>
    </row>
    <row r="69" spans="2:8">
      <c r="B69" s="152">
        <f>'11. Water - Capex Input'!F53</f>
        <v>0</v>
      </c>
      <c r="D69" s="30">
        <f>IF('11. Water - Capex Input'!$I53=D$3,'11. Water - Capex Input'!$G53,IF(C69&gt;1,C69-1,0))</f>
        <v>0</v>
      </c>
      <c r="E69" s="30">
        <f>IF('11. Water - Capex Input'!$I53=E$3,'11. Water - Capex Input'!$G53,IF(D69&gt;1,D69-1,0))</f>
        <v>40</v>
      </c>
      <c r="F69" s="30">
        <f>IF('11. Water - Capex Input'!$I53=F$3,'11. Water - Capex Input'!$G53,IF(E69&gt;1,E69-1,0))</f>
        <v>39</v>
      </c>
      <c r="G69" s="30">
        <f>IF('11. Water - Capex Input'!$I53=G$3,'11. Water - Capex Input'!$G53,IF(F69&gt;1,F69-1,0))</f>
        <v>38</v>
      </c>
      <c r="H69" s="30">
        <f>IF('11. Water - Capex Input'!$I53=H$3,'11. Water - Capex Input'!$G53,IF(G69&gt;1,G69-1,0))</f>
        <v>37</v>
      </c>
    </row>
    <row r="70" spans="2:8">
      <c r="B70" s="152">
        <f>'11. Water - Capex Input'!F54</f>
        <v>0</v>
      </c>
      <c r="D70" s="30">
        <f>IF('11. Water - Capex Input'!$I54=D$3,'11. Water - Capex Input'!$G54,IF(C70&gt;1,C70-1,0))</f>
        <v>0</v>
      </c>
      <c r="E70" s="30">
        <f>IF('11. Water - Capex Input'!$I54=E$3,'11. Water - Capex Input'!$G54,IF(D70&gt;1,D70-1,0))</f>
        <v>0</v>
      </c>
      <c r="F70" s="30">
        <f>IF('11. Water - Capex Input'!$I54=F$3,'11. Water - Capex Input'!$G54,IF(E70&gt;1,E70-1,0))</f>
        <v>40</v>
      </c>
      <c r="G70" s="30">
        <f>IF('11. Water - Capex Input'!$I54=G$3,'11. Water - Capex Input'!$G54,IF(F70&gt;1,F70-1,0))</f>
        <v>39</v>
      </c>
      <c r="H70" s="30">
        <f>IF('11. Water - Capex Input'!$I54=H$3,'11. Water - Capex Input'!$G54,IF(G70&gt;1,G70-1,0))</f>
        <v>38</v>
      </c>
    </row>
    <row r="71" spans="2:8">
      <c r="B71" s="152">
        <f>'11. Water - Capex Input'!F55</f>
        <v>0</v>
      </c>
      <c r="D71" s="30">
        <f>IF('11. Water - Capex Input'!$I55=D$3,'11. Water - Capex Input'!$G55,IF(C71&gt;1,C71-1,0))</f>
        <v>0</v>
      </c>
      <c r="E71" s="30">
        <f>IF('11. Water - Capex Input'!$I55=E$3,'11. Water - Capex Input'!$G55,IF(D71&gt;1,D71-1,0))</f>
        <v>0</v>
      </c>
      <c r="F71" s="30">
        <f>IF('11. Water - Capex Input'!$I55=F$3,'11. Water - Capex Input'!$G55,IF(E71&gt;1,E71-1,0))</f>
        <v>0</v>
      </c>
      <c r="G71" s="30">
        <f>IF('11. Water - Capex Input'!$I55=G$3,'11. Water - Capex Input'!$G55,IF(F71&gt;1,F71-1,0))</f>
        <v>40</v>
      </c>
      <c r="H71" s="30">
        <f>IF('11. Water - Capex Input'!$I55=H$3,'11. Water - Capex Input'!$G55,IF(G71&gt;1,G71-1,0))</f>
        <v>39</v>
      </c>
    </row>
    <row r="72" spans="2:8">
      <c r="B72" s="152">
        <f>'11. Water - Capex Input'!F56</f>
        <v>0</v>
      </c>
      <c r="D72" s="30">
        <f>IF('11. Water - Capex Input'!$I56=D$3,'11. Water - Capex Input'!$G56,IF(C72&gt;1,C72-1,0))</f>
        <v>0</v>
      </c>
      <c r="E72" s="30">
        <f>IF('11. Water - Capex Input'!$I56=E$3,'11. Water - Capex Input'!$G56,IF(D72&gt;1,D72-1,0))</f>
        <v>0</v>
      </c>
      <c r="F72" s="30">
        <f>IF('11. Water - Capex Input'!$I56=F$3,'11. Water - Capex Input'!$G56,IF(E72&gt;1,E72-1,0))</f>
        <v>40</v>
      </c>
      <c r="G72" s="30">
        <f>IF('11. Water - Capex Input'!$I56=G$3,'11. Water - Capex Input'!$G56,IF(F72&gt;1,F72-1,0))</f>
        <v>39</v>
      </c>
      <c r="H72" s="30">
        <f>IF('11. Water - Capex Input'!$I56=H$3,'11. Water - Capex Input'!$G56,IF(G72&gt;1,G72-1,0))</f>
        <v>38</v>
      </c>
    </row>
    <row r="73" spans="2:8">
      <c r="B73" s="152">
        <f>'11. Water - Capex Input'!F57</f>
        <v>0</v>
      </c>
      <c r="D73" s="30">
        <f>IF('11. Water - Capex Input'!$I57=D$3,'11. Water - Capex Input'!$G57,IF(C73&gt;1,C73-1,0))</f>
        <v>0</v>
      </c>
      <c r="E73" s="30">
        <f>IF('11. Water - Capex Input'!$I57=E$3,'11. Water - Capex Input'!$G57,IF(D73&gt;1,D73-1,0))</f>
        <v>0</v>
      </c>
      <c r="F73" s="30">
        <f>IF('11. Water - Capex Input'!$I57=F$3,'11. Water - Capex Input'!$G57,IF(E73&gt;1,E73-1,0))</f>
        <v>0</v>
      </c>
      <c r="G73" s="30">
        <f>IF('11. Water - Capex Input'!$I57=G$3,'11. Water - Capex Input'!$G57,IF(F73&gt;1,F73-1,0))</f>
        <v>40</v>
      </c>
      <c r="H73" s="30">
        <f>IF('11. Water - Capex Input'!$I57=H$3,'11. Water - Capex Input'!$G57,IF(G73&gt;1,G73-1,0))</f>
        <v>39</v>
      </c>
    </row>
    <row r="74" spans="2:8">
      <c r="B74" s="152">
        <f>'11. Water - Capex Input'!F58</f>
        <v>0</v>
      </c>
      <c r="D74" s="30">
        <f>IF('11. Water - Capex Input'!$I58=D$3,'11. Water - Capex Input'!$G58,IF(C74&gt;1,C74-1,0))</f>
        <v>0</v>
      </c>
      <c r="E74" s="30">
        <f>IF('11. Water - Capex Input'!$I58=E$3,'11. Water - Capex Input'!$G58,IF(D74&gt;1,D74-1,0))</f>
        <v>0</v>
      </c>
      <c r="F74" s="30">
        <f>IF('11. Water - Capex Input'!$I58=F$3,'11. Water - Capex Input'!$G58,IF(E74&gt;1,E74-1,0))</f>
        <v>0</v>
      </c>
      <c r="G74" s="30">
        <f>IF('11. Water - Capex Input'!$I58=G$3,'11. Water - Capex Input'!$G58,IF(F74&gt;1,F74-1,0))</f>
        <v>0</v>
      </c>
      <c r="H74" s="30">
        <f>IF('11. Water - Capex Input'!$I58=H$3,'11. Water - Capex Input'!$G58,IF(G74&gt;1,G74-1,0))</f>
        <v>40</v>
      </c>
    </row>
    <row r="75" spans="2:8">
      <c r="B75" s="152">
        <f>'11. Water - Capex Input'!F59</f>
        <v>0</v>
      </c>
      <c r="D75" s="30">
        <f>IF('11. Water - Capex Input'!$I59=D$3,'11. Water - Capex Input'!$G59,IF(C75&gt;1,C75-1,0))</f>
        <v>80</v>
      </c>
      <c r="E75" s="30">
        <f>IF('11. Water - Capex Input'!$I59=E$3,'11. Water - Capex Input'!$G59,IF(D75&gt;1,D75-1,0))</f>
        <v>79</v>
      </c>
      <c r="F75" s="30">
        <f>IF('11. Water - Capex Input'!$I59=F$3,'11. Water - Capex Input'!$G59,IF(E75&gt;1,E75-1,0))</f>
        <v>78</v>
      </c>
      <c r="G75" s="30">
        <f>IF('11. Water - Capex Input'!$I59=G$3,'11. Water - Capex Input'!$G59,IF(F75&gt;1,F75-1,0))</f>
        <v>77</v>
      </c>
      <c r="H75" s="30">
        <f>IF('11. Water - Capex Input'!$I59=H$3,'11. Water - Capex Input'!$G59,IF(G75&gt;1,G75-1,0))</f>
        <v>76</v>
      </c>
    </row>
    <row r="76" spans="2:8">
      <c r="B76" s="152">
        <f>'11. Water - Capex Input'!F60</f>
        <v>0</v>
      </c>
      <c r="D76" s="30">
        <f>IF('11. Water - Capex Input'!$I60=D$3,'11. Water - Capex Input'!$G60,IF(C76&gt;1,C76-1,0))</f>
        <v>0</v>
      </c>
      <c r="E76" s="30">
        <f>IF('11. Water - Capex Input'!$I60=E$3,'11. Water - Capex Input'!$G60,IF(D76&gt;1,D76-1,0))</f>
        <v>80</v>
      </c>
      <c r="F76" s="30">
        <f>IF('11. Water - Capex Input'!$I60=F$3,'11. Water - Capex Input'!$G60,IF(E76&gt;1,E76-1,0))</f>
        <v>79</v>
      </c>
      <c r="G76" s="30">
        <f>IF('11. Water - Capex Input'!$I60=G$3,'11. Water - Capex Input'!$G60,IF(F76&gt;1,F76-1,0))</f>
        <v>78</v>
      </c>
      <c r="H76" s="30">
        <f>IF('11. Water - Capex Input'!$I60=H$3,'11. Water - Capex Input'!$G60,IF(G76&gt;1,G76-1,0))</f>
        <v>77</v>
      </c>
    </row>
    <row r="77" spans="2:8">
      <c r="B77" s="152">
        <f>'11. Water - Capex Input'!F61</f>
        <v>0</v>
      </c>
      <c r="D77" s="30">
        <f>IF('11. Water - Capex Input'!$I61=D$3,'11. Water - Capex Input'!$G61,IF(C77&gt;1,C77-1,0))</f>
        <v>0</v>
      </c>
      <c r="E77" s="30">
        <f>IF('11. Water - Capex Input'!$I61=E$3,'11. Water - Capex Input'!$G61,IF(D77&gt;1,D77-1,0))</f>
        <v>0</v>
      </c>
      <c r="F77" s="30">
        <f>IF('11. Water - Capex Input'!$I61=F$3,'11. Water - Capex Input'!$G61,IF(E77&gt;1,E77-1,0))</f>
        <v>80</v>
      </c>
      <c r="G77" s="30">
        <f>IF('11. Water - Capex Input'!$I61=G$3,'11. Water - Capex Input'!$G61,IF(F77&gt;1,F77-1,0))</f>
        <v>79</v>
      </c>
      <c r="H77" s="30">
        <f>IF('11. Water - Capex Input'!$I61=H$3,'11. Water - Capex Input'!$G61,IF(G77&gt;1,G77-1,0))</f>
        <v>78</v>
      </c>
    </row>
    <row r="78" spans="2:8">
      <c r="B78" s="152">
        <f>'11. Water - Capex Input'!F62</f>
        <v>0</v>
      </c>
      <c r="D78" s="30">
        <f>IF('11. Water - Capex Input'!$I62=D$3,'11. Water - Capex Input'!$G62,IF(C78&gt;1,C78-1,0))</f>
        <v>30</v>
      </c>
      <c r="E78" s="30">
        <f>IF('11. Water - Capex Input'!$I62=E$3,'11. Water - Capex Input'!$G62,IF(D78&gt;1,D78-1,0))</f>
        <v>29</v>
      </c>
      <c r="F78" s="30">
        <f>IF('11. Water - Capex Input'!$I62=F$3,'11. Water - Capex Input'!$G62,IF(E78&gt;1,E78-1,0))</f>
        <v>28</v>
      </c>
      <c r="G78" s="30">
        <f>IF('11. Water - Capex Input'!$I62=G$3,'11. Water - Capex Input'!$G62,IF(F78&gt;1,F78-1,0))</f>
        <v>27</v>
      </c>
      <c r="H78" s="30">
        <f>IF('11. Water - Capex Input'!$I62=H$3,'11. Water - Capex Input'!$G62,IF(G78&gt;1,G78-1,0))</f>
        <v>26</v>
      </c>
    </row>
    <row r="79" spans="2:8">
      <c r="B79" s="152">
        <f>'11. Water - Capex Input'!F63</f>
        <v>0</v>
      </c>
      <c r="D79" s="30">
        <f>IF('11. Water - Capex Input'!$I63=D$3,'11. Water - Capex Input'!$G63,IF(C79&gt;1,C79-1,0))</f>
        <v>0</v>
      </c>
      <c r="E79" s="30">
        <f>IF('11. Water - Capex Input'!$I63=E$3,'11. Water - Capex Input'!$G63,IF(D79&gt;1,D79-1,0))</f>
        <v>30</v>
      </c>
      <c r="F79" s="30">
        <f>IF('11. Water - Capex Input'!$I63=F$3,'11. Water - Capex Input'!$G63,IF(E79&gt;1,E79-1,0))</f>
        <v>29</v>
      </c>
      <c r="G79" s="30">
        <f>IF('11. Water - Capex Input'!$I63=G$3,'11. Water - Capex Input'!$G63,IF(F79&gt;1,F79-1,0))</f>
        <v>28</v>
      </c>
      <c r="H79" s="30">
        <f>IF('11. Water - Capex Input'!$I63=H$3,'11. Water - Capex Input'!$G63,IF(G79&gt;1,G79-1,0))</f>
        <v>27</v>
      </c>
    </row>
    <row r="80" spans="2:8">
      <c r="B80" s="152">
        <f>'11. Water - Capex Input'!F64</f>
        <v>0</v>
      </c>
      <c r="D80" s="30">
        <f>IF('11. Water - Capex Input'!$I64=D$3,'11. Water - Capex Input'!$G64,IF(C80&gt;1,C80-1,0))</f>
        <v>50</v>
      </c>
      <c r="E80" s="30">
        <f>IF('11. Water - Capex Input'!$I64=E$3,'11. Water - Capex Input'!$G64,IF(D80&gt;1,D80-1,0))</f>
        <v>49</v>
      </c>
      <c r="F80" s="30">
        <f>IF('11. Water - Capex Input'!$I64=F$3,'11. Water - Capex Input'!$G64,IF(E80&gt;1,E80-1,0))</f>
        <v>48</v>
      </c>
      <c r="G80" s="30">
        <f>IF('11. Water - Capex Input'!$I64=G$3,'11. Water - Capex Input'!$G64,IF(F80&gt;1,F80-1,0))</f>
        <v>47</v>
      </c>
      <c r="H80" s="30">
        <f>IF('11. Water - Capex Input'!$I64=H$3,'11. Water - Capex Input'!$G64,IF(G80&gt;1,G80-1,0))</f>
        <v>46</v>
      </c>
    </row>
    <row r="81" spans="2:8">
      <c r="B81" s="152">
        <f>'11. Water - Capex Input'!F65</f>
        <v>0</v>
      </c>
      <c r="D81" s="30">
        <f>IF('11. Water - Capex Input'!$I65=D$3,'11. Water - Capex Input'!$G65,IF(C81&gt;1,C81-1,0))</f>
        <v>0</v>
      </c>
      <c r="E81" s="30">
        <f>IF('11. Water - Capex Input'!$I65=E$3,'11. Water - Capex Input'!$G65,IF(D81&gt;1,D81-1,0))</f>
        <v>50</v>
      </c>
      <c r="F81" s="30">
        <f>IF('11. Water - Capex Input'!$I65=F$3,'11. Water - Capex Input'!$G65,IF(E81&gt;1,E81-1,0))</f>
        <v>49</v>
      </c>
      <c r="G81" s="30">
        <f>IF('11. Water - Capex Input'!$I65=G$3,'11. Water - Capex Input'!$G65,IF(F81&gt;1,F81-1,0))</f>
        <v>48</v>
      </c>
      <c r="H81" s="30">
        <f>IF('11. Water - Capex Input'!$I65=H$3,'11. Water - Capex Input'!$G65,IF(G81&gt;1,G81-1,0))</f>
        <v>47</v>
      </c>
    </row>
    <row r="82" spans="2:8">
      <c r="B82" s="152">
        <f>'11. Water - Capex Input'!F66</f>
        <v>0</v>
      </c>
      <c r="D82" s="30">
        <f>IF('11. Water - Capex Input'!$I66=D$3,'11. Water - Capex Input'!$G66,IF(C82&gt;1,C82-1,0))</f>
        <v>0</v>
      </c>
      <c r="E82" s="30">
        <f>IF('11. Water - Capex Input'!$I66=E$3,'11. Water - Capex Input'!$G66,IF(D82&gt;1,D82-1,0))</f>
        <v>0</v>
      </c>
      <c r="F82" s="30">
        <f>IF('11. Water - Capex Input'!$I66=F$3,'11. Water - Capex Input'!$G66,IF(E82&gt;1,E82-1,0))</f>
        <v>50</v>
      </c>
      <c r="G82" s="30">
        <f>IF('11. Water - Capex Input'!$I66=G$3,'11. Water - Capex Input'!$G66,IF(F82&gt;1,F82-1,0))</f>
        <v>49</v>
      </c>
      <c r="H82" s="30">
        <f>IF('11. Water - Capex Input'!$I66=H$3,'11. Water - Capex Input'!$G66,IF(G82&gt;1,G82-1,0))</f>
        <v>48</v>
      </c>
    </row>
    <row r="83" spans="2:8">
      <c r="B83" s="152">
        <f>'11. Water - Capex Input'!F67</f>
        <v>0</v>
      </c>
      <c r="D83" s="30">
        <f>IF('11. Water - Capex Input'!$I67=D$3,'11. Water - Capex Input'!$G67,IF(C83&gt;1,C83-1,0))</f>
        <v>0</v>
      </c>
      <c r="E83" s="30">
        <f>IF('11. Water - Capex Input'!$I67=E$3,'11. Water - Capex Input'!$G67,IF(D83&gt;1,D83-1,0))</f>
        <v>0</v>
      </c>
      <c r="F83" s="30">
        <f>IF('11. Water - Capex Input'!$I67=F$3,'11. Water - Capex Input'!$G67,IF(E83&gt;1,E83-1,0))</f>
        <v>0</v>
      </c>
      <c r="G83" s="30">
        <f>IF('11. Water - Capex Input'!$I67=G$3,'11. Water - Capex Input'!$G67,IF(F83&gt;1,F83-1,0))</f>
        <v>40</v>
      </c>
      <c r="H83" s="30">
        <f>IF('11. Water - Capex Input'!$I67=H$3,'11. Water - Capex Input'!$G67,IF(G83&gt;1,G83-1,0))</f>
        <v>39</v>
      </c>
    </row>
    <row r="84" spans="2:8">
      <c r="B84" s="152">
        <f>'11. Water - Capex Input'!F68</f>
        <v>0</v>
      </c>
      <c r="D84" s="30">
        <f>IF('11. Water - Capex Input'!$I68=D$3,'11. Water - Capex Input'!$G68,IF(C84&gt;1,C84-1,0))</f>
        <v>0</v>
      </c>
      <c r="E84" s="30">
        <f>IF('11. Water - Capex Input'!$I68=E$3,'11. Water - Capex Input'!$G68,IF(D84&gt;1,D84-1,0))</f>
        <v>0</v>
      </c>
      <c r="F84" s="30">
        <f>IF('11. Water - Capex Input'!$I68=F$3,'11. Water - Capex Input'!$G68,IF(E84&gt;1,E84-1,0))</f>
        <v>0</v>
      </c>
      <c r="G84" s="30">
        <f>IF('11. Water - Capex Input'!$I68=G$3,'11. Water - Capex Input'!$G68,IF(F84&gt;1,F84-1,0))</f>
        <v>0</v>
      </c>
      <c r="H84" s="30">
        <f>IF('11. Water - Capex Input'!$I68=H$3,'11. Water - Capex Input'!$G68,IF(G84&gt;1,G84-1,0))</f>
        <v>40</v>
      </c>
    </row>
    <row r="85" spans="2:8">
      <c r="B85" s="152">
        <f>'11. Water - Capex Input'!F69</f>
        <v>0</v>
      </c>
      <c r="D85" s="30">
        <f>IF('11. Water - Capex Input'!$I69=D$3,'11. Water - Capex Input'!$G69,IF(C85&gt;1,C85-1,0))</f>
        <v>60</v>
      </c>
      <c r="E85" s="30">
        <f>IF('11. Water - Capex Input'!$I69=E$3,'11. Water - Capex Input'!$G69,IF(D85&gt;1,D85-1,0))</f>
        <v>59</v>
      </c>
      <c r="F85" s="30">
        <f>IF('11. Water - Capex Input'!$I69=F$3,'11. Water - Capex Input'!$G69,IF(E85&gt;1,E85-1,0))</f>
        <v>58</v>
      </c>
      <c r="G85" s="30">
        <f>IF('11. Water - Capex Input'!$I69=G$3,'11. Water - Capex Input'!$G69,IF(F85&gt;1,F85-1,0))</f>
        <v>57</v>
      </c>
      <c r="H85" s="30">
        <f>IF('11. Water - Capex Input'!$I69=H$3,'11. Water - Capex Input'!$G69,IF(G85&gt;1,G85-1,0))</f>
        <v>56</v>
      </c>
    </row>
    <row r="86" spans="2:8">
      <c r="B86" s="152">
        <f>'11. Water - Capex Input'!F70</f>
        <v>0</v>
      </c>
      <c r="D86" s="30">
        <f>IF('11. Water - Capex Input'!$I70=D$3,'11. Water - Capex Input'!$G70,IF(C86&gt;1,C86-1,0))</f>
        <v>0</v>
      </c>
      <c r="E86" s="30">
        <f>IF('11. Water - Capex Input'!$I70=E$3,'11. Water - Capex Input'!$G70,IF(D86&gt;1,D86-1,0))</f>
        <v>60</v>
      </c>
      <c r="F86" s="30">
        <f>IF('11. Water - Capex Input'!$I70=F$3,'11. Water - Capex Input'!$G70,IF(E86&gt;1,E86-1,0))</f>
        <v>59</v>
      </c>
      <c r="G86" s="30">
        <f>IF('11. Water - Capex Input'!$I70=G$3,'11. Water - Capex Input'!$G70,IF(F86&gt;1,F86-1,0))</f>
        <v>58</v>
      </c>
      <c r="H86" s="30">
        <f>IF('11. Water - Capex Input'!$I70=H$3,'11. Water - Capex Input'!$G70,IF(G86&gt;1,G86-1,0))</f>
        <v>57</v>
      </c>
    </row>
    <row r="87" spans="2:8">
      <c r="B87" s="152">
        <f>'11. Water - Capex Input'!F71</f>
        <v>0</v>
      </c>
      <c r="D87" s="30">
        <f>IF('11. Water - Capex Input'!$I71=D$3,'11. Water - Capex Input'!$G71,IF(C87&gt;1,C87-1,0))</f>
        <v>0</v>
      </c>
      <c r="E87" s="30">
        <f>IF('11. Water - Capex Input'!$I71=E$3,'11. Water - Capex Input'!$G71,IF(D87&gt;1,D87-1,0))</f>
        <v>0</v>
      </c>
      <c r="F87" s="30">
        <f>IF('11. Water - Capex Input'!$I71=F$3,'11. Water - Capex Input'!$G71,IF(E87&gt;1,E87-1,0))</f>
        <v>60</v>
      </c>
      <c r="G87" s="30">
        <f>IF('11. Water - Capex Input'!$I71=G$3,'11. Water - Capex Input'!$G71,IF(F87&gt;1,F87-1,0))</f>
        <v>59</v>
      </c>
      <c r="H87" s="30">
        <f>IF('11. Water - Capex Input'!$I71=H$3,'11. Water - Capex Input'!$G71,IF(G87&gt;1,G87-1,0))</f>
        <v>58</v>
      </c>
    </row>
    <row r="88" spans="2:8">
      <c r="B88" s="152">
        <f>'11. Water - Capex Input'!F72</f>
        <v>0</v>
      </c>
      <c r="D88" s="30">
        <f>IF('11. Water - Capex Input'!$I72=D$3,'11. Water - Capex Input'!$G72,IF(C88&gt;1,C88-1,0))</f>
        <v>0</v>
      </c>
      <c r="E88" s="30">
        <f>IF('11. Water - Capex Input'!$I72=E$3,'11. Water - Capex Input'!$G72,IF(D88&gt;1,D88-1,0))</f>
        <v>0</v>
      </c>
      <c r="F88" s="30">
        <f>IF('11. Water - Capex Input'!$I72=F$3,'11. Water - Capex Input'!$G72,IF(E88&gt;1,E88-1,0))</f>
        <v>0</v>
      </c>
      <c r="G88" s="30">
        <f>IF('11. Water - Capex Input'!$I72=G$3,'11. Water - Capex Input'!$G72,IF(F88&gt;1,F88-1,0))</f>
        <v>60</v>
      </c>
      <c r="H88" s="30">
        <f>IF('11. Water - Capex Input'!$I72=H$3,'11. Water - Capex Input'!$G72,IF(G88&gt;1,G88-1,0))</f>
        <v>59</v>
      </c>
    </row>
    <row r="89" spans="2:8">
      <c r="B89" s="152">
        <f>'11. Water - Capex Input'!F73</f>
        <v>0</v>
      </c>
      <c r="D89" s="30">
        <f>IF('11. Water - Capex Input'!$I73=D$3,'11. Water - Capex Input'!$G73,IF(C89&gt;1,C89-1,0))</f>
        <v>0</v>
      </c>
      <c r="E89" s="30">
        <f>IF('11. Water - Capex Input'!$I73=E$3,'11. Water - Capex Input'!$G73,IF(D89&gt;1,D89-1,0))</f>
        <v>0</v>
      </c>
      <c r="F89" s="30">
        <f>IF('11. Water - Capex Input'!$I73=F$3,'11. Water - Capex Input'!$G73,IF(E89&gt;1,E89-1,0))</f>
        <v>0</v>
      </c>
      <c r="G89" s="30">
        <f>IF('11. Water - Capex Input'!$I73=G$3,'11. Water - Capex Input'!$G73,IF(F89&gt;1,F89-1,0))</f>
        <v>0</v>
      </c>
      <c r="H89" s="30">
        <f>IF('11. Water - Capex Input'!$I73=H$3,'11. Water - Capex Input'!$G73,IF(G89&gt;1,G89-1,0))</f>
        <v>60</v>
      </c>
    </row>
    <row r="90" spans="2:8">
      <c r="B90" s="152">
        <f>'11. Water - Capex Input'!F74</f>
        <v>0</v>
      </c>
      <c r="D90" s="30">
        <f>IF('11. Water - Capex Input'!$I74=D$3,'11. Water - Capex Input'!$G74,IF(C90&gt;1,C90-1,0))</f>
        <v>80</v>
      </c>
      <c r="E90" s="30">
        <f>IF('11. Water - Capex Input'!$I74=E$3,'11. Water - Capex Input'!$G74,IF(D90&gt;1,D90-1,0))</f>
        <v>79</v>
      </c>
      <c r="F90" s="30">
        <f>IF('11. Water - Capex Input'!$I74=F$3,'11. Water - Capex Input'!$G74,IF(E90&gt;1,E90-1,0))</f>
        <v>78</v>
      </c>
      <c r="G90" s="30">
        <f>IF('11. Water - Capex Input'!$I74=G$3,'11. Water - Capex Input'!$G74,IF(F90&gt;1,F90-1,0))</f>
        <v>77</v>
      </c>
      <c r="H90" s="30">
        <f>IF('11. Water - Capex Input'!$I74=H$3,'11. Water - Capex Input'!$G74,IF(G90&gt;1,G90-1,0))</f>
        <v>76</v>
      </c>
    </row>
    <row r="91" spans="2:8">
      <c r="B91" s="152">
        <f>'11. Water - Capex Input'!F75</f>
        <v>0</v>
      </c>
      <c r="D91" s="30">
        <f>IF('11. Water - Capex Input'!$I75=D$3,'11. Water - Capex Input'!$G75,IF(C91&gt;1,C91-1,0))</f>
        <v>0</v>
      </c>
      <c r="E91" s="30">
        <f>IF('11. Water - Capex Input'!$I75=E$3,'11. Water - Capex Input'!$G75,IF(D91&gt;1,D91-1,0))</f>
        <v>80</v>
      </c>
      <c r="F91" s="30">
        <f>IF('11. Water - Capex Input'!$I75=F$3,'11. Water - Capex Input'!$G75,IF(E91&gt;1,E91-1,0))</f>
        <v>79</v>
      </c>
      <c r="G91" s="30">
        <f>IF('11. Water - Capex Input'!$I75=G$3,'11. Water - Capex Input'!$G75,IF(F91&gt;1,F91-1,0))</f>
        <v>78</v>
      </c>
      <c r="H91" s="30">
        <f>IF('11. Water - Capex Input'!$I75=H$3,'11. Water - Capex Input'!$G75,IF(G91&gt;1,G91-1,0))</f>
        <v>77</v>
      </c>
    </row>
    <row r="92" spans="2:8">
      <c r="B92" s="152">
        <f>'11. Water - Capex Input'!F76</f>
        <v>0</v>
      </c>
      <c r="D92" s="30">
        <f>IF('11. Water - Capex Input'!$I76=D$3,'11. Water - Capex Input'!$G76,IF(C92&gt;1,C92-1,0))</f>
        <v>0</v>
      </c>
      <c r="E92" s="30">
        <f>IF('11. Water - Capex Input'!$I76=E$3,'11. Water - Capex Input'!$G76,IF(D92&gt;1,D92-1,0))</f>
        <v>0</v>
      </c>
      <c r="F92" s="30">
        <f>IF('11. Water - Capex Input'!$I76=F$3,'11. Water - Capex Input'!$G76,IF(E92&gt;1,E92-1,0))</f>
        <v>60</v>
      </c>
      <c r="G92" s="30">
        <f>IF('11. Water - Capex Input'!$I76=G$3,'11. Water - Capex Input'!$G76,IF(F92&gt;1,F92-1,0))</f>
        <v>59</v>
      </c>
      <c r="H92" s="30">
        <f>IF('11. Water - Capex Input'!$I76=H$3,'11. Water - Capex Input'!$G76,IF(G92&gt;1,G92-1,0))</f>
        <v>58</v>
      </c>
    </row>
    <row r="93" spans="2:8">
      <c r="B93" s="152">
        <f>'11. Water - Capex Input'!F77</f>
        <v>0</v>
      </c>
      <c r="D93" s="30">
        <f>IF('11. Water - Capex Input'!$I77=D$3,'11. Water - Capex Input'!$G77,IF(C93&gt;1,C93-1,0))</f>
        <v>0</v>
      </c>
      <c r="E93" s="30">
        <f>IF('11. Water - Capex Input'!$I77=E$3,'11. Water - Capex Input'!$G77,IF(D93&gt;1,D93-1,0))</f>
        <v>0</v>
      </c>
      <c r="F93" s="30">
        <f>IF('11. Water - Capex Input'!$I77=F$3,'11. Water - Capex Input'!$G77,IF(E93&gt;1,E93-1,0))</f>
        <v>0</v>
      </c>
      <c r="G93" s="30">
        <f>IF('11. Water - Capex Input'!$I77=G$3,'11. Water - Capex Input'!$G77,IF(F93&gt;1,F93-1,0))</f>
        <v>60</v>
      </c>
      <c r="H93" s="30">
        <f>IF('11. Water - Capex Input'!$I77=H$3,'11. Water - Capex Input'!$G77,IF(G93&gt;1,G93-1,0))</f>
        <v>59</v>
      </c>
    </row>
    <row r="94" spans="2:8">
      <c r="B94" s="152">
        <f>'11. Water - Capex Input'!F78</f>
        <v>0</v>
      </c>
      <c r="D94" s="30">
        <f>IF('11. Water - Capex Input'!$I78=D$3,'11. Water - Capex Input'!$G78,IF(C94&gt;1,C94-1,0))</f>
        <v>0</v>
      </c>
      <c r="E94" s="30">
        <f>IF('11. Water - Capex Input'!$I78=E$3,'11. Water - Capex Input'!$G78,IF(D94&gt;1,D94-1,0))</f>
        <v>0</v>
      </c>
      <c r="F94" s="30">
        <f>IF('11. Water - Capex Input'!$I78=F$3,'11. Water - Capex Input'!$G78,IF(E94&gt;1,E94-1,0))</f>
        <v>0</v>
      </c>
      <c r="G94" s="30">
        <f>IF('11. Water - Capex Input'!$I78=G$3,'11. Water - Capex Input'!$G78,IF(F94&gt;1,F94-1,0))</f>
        <v>40</v>
      </c>
      <c r="H94" s="30">
        <f>IF('11. Water - Capex Input'!$I78=H$3,'11. Water - Capex Input'!$G78,IF(G94&gt;1,G94-1,0))</f>
        <v>39</v>
      </c>
    </row>
    <row r="95" spans="2:8">
      <c r="B95" s="152">
        <f>'11. Water - Capex Input'!F79</f>
        <v>0</v>
      </c>
      <c r="D95" s="30">
        <f>IF('11. Water - Capex Input'!$I79=D$3,'11. Water - Capex Input'!$G79,IF(C95&gt;1,C95-1,0))</f>
        <v>0</v>
      </c>
      <c r="E95" s="30">
        <f>IF('11. Water - Capex Input'!$I79=E$3,'11. Water - Capex Input'!$G79,IF(D95&gt;1,D95-1,0))</f>
        <v>0</v>
      </c>
      <c r="F95" s="30">
        <f>IF('11. Water - Capex Input'!$I79=F$3,'11. Water - Capex Input'!$G79,IF(E95&gt;1,E95-1,0))</f>
        <v>0</v>
      </c>
      <c r="G95" s="30">
        <f>IF('11. Water - Capex Input'!$I79=G$3,'11. Water - Capex Input'!$G79,IF(F95&gt;1,F95-1,0))</f>
        <v>0</v>
      </c>
      <c r="H95" s="30">
        <f>IF('11. Water - Capex Input'!$I79=H$3,'11. Water - Capex Input'!$G79,IF(G95&gt;1,G95-1,0))</f>
        <v>40</v>
      </c>
    </row>
    <row r="96" spans="2:8">
      <c r="B96" s="152">
        <f>'11. Water - Capex Input'!F80</f>
        <v>0</v>
      </c>
      <c r="D96" s="30">
        <f>IF('11. Water - Capex Input'!$I80=D$3,'11. Water - Capex Input'!$G80,IF(C96&gt;1,C96-1,0))</f>
        <v>40</v>
      </c>
      <c r="E96" s="30">
        <f>IF('11. Water - Capex Input'!$I80=E$3,'11. Water - Capex Input'!$G80,IF(D96&gt;1,D96-1,0))</f>
        <v>39</v>
      </c>
      <c r="F96" s="30">
        <f>IF('11. Water - Capex Input'!$I80=F$3,'11. Water - Capex Input'!$G80,IF(E96&gt;1,E96-1,0))</f>
        <v>38</v>
      </c>
      <c r="G96" s="30">
        <f>IF('11. Water - Capex Input'!$I80=G$3,'11. Water - Capex Input'!$G80,IF(F96&gt;1,F96-1,0))</f>
        <v>37</v>
      </c>
      <c r="H96" s="30">
        <f>IF('11. Water - Capex Input'!$I80=H$3,'11. Water - Capex Input'!$G80,IF(G96&gt;1,G96-1,0))</f>
        <v>36</v>
      </c>
    </row>
    <row r="97" spans="2:8">
      <c r="B97" s="152">
        <f>'11. Water - Capex Input'!F81</f>
        <v>0</v>
      </c>
      <c r="D97" s="30">
        <f>IF('11. Water - Capex Input'!$I81=D$3,'11. Water - Capex Input'!$G81,IF(C97&gt;1,C97-1,0))</f>
        <v>0</v>
      </c>
      <c r="E97" s="30">
        <f>IF('11. Water - Capex Input'!$I81=E$3,'11. Water - Capex Input'!$G81,IF(D97&gt;1,D97-1,0))</f>
        <v>40</v>
      </c>
      <c r="F97" s="30">
        <f>IF('11. Water - Capex Input'!$I81=F$3,'11. Water - Capex Input'!$G81,IF(E97&gt;1,E97-1,0))</f>
        <v>39</v>
      </c>
      <c r="G97" s="30">
        <f>IF('11. Water - Capex Input'!$I81=G$3,'11. Water - Capex Input'!$G81,IF(F97&gt;1,F97-1,0))</f>
        <v>38</v>
      </c>
      <c r="H97" s="30">
        <f>IF('11. Water - Capex Input'!$I81=H$3,'11. Water - Capex Input'!$G81,IF(G97&gt;1,G97-1,0))</f>
        <v>37</v>
      </c>
    </row>
    <row r="98" spans="2:8">
      <c r="B98" s="152">
        <f>'11. Water - Capex Input'!F82</f>
        <v>0</v>
      </c>
      <c r="D98" s="30">
        <f>IF('11. Water - Capex Input'!$I82=D$3,'11. Water - Capex Input'!$G82,IF(C98&gt;1,C98-1,0))</f>
        <v>0</v>
      </c>
      <c r="E98" s="30">
        <f>IF('11. Water - Capex Input'!$I82=E$3,'11. Water - Capex Input'!$G82,IF(D98&gt;1,D98-1,0))</f>
        <v>0</v>
      </c>
      <c r="F98" s="30">
        <f>IF('11. Water - Capex Input'!$I82=F$3,'11. Water - Capex Input'!$G82,IF(E98&gt;1,E98-1,0))</f>
        <v>0</v>
      </c>
      <c r="G98" s="30">
        <f>IF('11. Water - Capex Input'!$I82=G$3,'11. Water - Capex Input'!$G82,IF(F98&gt;1,F98-1,0))</f>
        <v>40</v>
      </c>
      <c r="H98" s="30">
        <f>IF('11. Water - Capex Input'!$I82=H$3,'11. Water - Capex Input'!$G82,IF(G98&gt;1,G98-1,0))</f>
        <v>39</v>
      </c>
    </row>
    <row r="99" spans="2:8">
      <c r="B99" s="152">
        <f>'11. Water - Capex Input'!F83</f>
        <v>0</v>
      </c>
      <c r="D99" s="30">
        <f>IF('11. Water - Capex Input'!$I83=D$3,'11. Water - Capex Input'!$G83,IF(C99&gt;1,C99-1,0))</f>
        <v>0</v>
      </c>
      <c r="E99" s="30">
        <f>IF('11. Water - Capex Input'!$I83=E$3,'11. Water - Capex Input'!$G83,IF(D99&gt;1,D99-1,0))</f>
        <v>0</v>
      </c>
      <c r="F99" s="30">
        <f>IF('11. Water - Capex Input'!$I83=F$3,'11. Water - Capex Input'!$G83,IF(E99&gt;1,E99-1,0))</f>
        <v>0</v>
      </c>
      <c r="G99" s="30">
        <f>IF('11. Water - Capex Input'!$I83=G$3,'11. Water - Capex Input'!$G83,IF(F99&gt;1,F99-1,0))</f>
        <v>0</v>
      </c>
      <c r="H99" s="30">
        <f>IF('11. Water - Capex Input'!$I83=H$3,'11. Water - Capex Input'!$G83,IF(G99&gt;1,G99-1,0))</f>
        <v>40</v>
      </c>
    </row>
    <row r="100" spans="2:8">
      <c r="B100" s="152">
        <f>'11. Water - Capex Input'!F84</f>
        <v>0</v>
      </c>
      <c r="D100" s="30">
        <f>IF('11. Water - Capex Input'!$I84=D$3,'11. Water - Capex Input'!$G84,IF(C100&gt;1,C100-1,0))</f>
        <v>0</v>
      </c>
      <c r="E100" s="30">
        <f>IF('11. Water - Capex Input'!$I84=E$3,'11. Water - Capex Input'!$G84,IF(D100&gt;1,D100-1,0))</f>
        <v>0</v>
      </c>
      <c r="F100" s="30">
        <f>IF('11. Water - Capex Input'!$I84=F$3,'11. Water - Capex Input'!$G84,IF(E100&gt;1,E100-1,0))</f>
        <v>0</v>
      </c>
      <c r="G100" s="30">
        <f>IF('11. Water - Capex Input'!$I84=G$3,'11. Water - Capex Input'!$G84,IF(F100&gt;1,F100-1,0))</f>
        <v>50</v>
      </c>
      <c r="H100" s="30">
        <f>IF('11. Water - Capex Input'!$I84=H$3,'11. Water - Capex Input'!$G84,IF(G100&gt;1,G100-1,0))</f>
        <v>49</v>
      </c>
    </row>
    <row r="101" spans="2:8">
      <c r="B101" s="152">
        <f>'11. Water - Capex Input'!F85</f>
        <v>0</v>
      </c>
      <c r="D101" s="30">
        <f>IF('11. Water - Capex Input'!$I85=D$3,'11. Water - Capex Input'!$G85,IF(C101&gt;1,C101-1,0))</f>
        <v>0</v>
      </c>
      <c r="E101" s="30">
        <f>IF('11. Water - Capex Input'!$I85=E$3,'11. Water - Capex Input'!$G85,IF(D101&gt;1,D101-1,0))</f>
        <v>0</v>
      </c>
      <c r="F101" s="30">
        <f>IF('11. Water - Capex Input'!$I85=F$3,'11. Water - Capex Input'!$G85,IF(E101&gt;1,E101-1,0))</f>
        <v>0</v>
      </c>
      <c r="G101" s="30">
        <f>IF('11. Water - Capex Input'!$I85=G$3,'11. Water - Capex Input'!$G85,IF(F101&gt;1,F101-1,0))</f>
        <v>0</v>
      </c>
      <c r="H101" s="30">
        <f>IF('11. Water - Capex Input'!$I85=H$3,'11. Water - Capex Input'!$G85,IF(G101&gt;1,G101-1,0))</f>
        <v>50</v>
      </c>
    </row>
    <row r="102" spans="2:8">
      <c r="B102" s="152">
        <f>'11. Water - Capex Input'!F86</f>
        <v>0</v>
      </c>
      <c r="D102" s="30">
        <f>IF('11. Water - Capex Input'!$I86=D$3,'11. Water - Capex Input'!$G86,IF(C102&gt;1,C102-1,0))</f>
        <v>0</v>
      </c>
      <c r="E102" s="30">
        <f>IF('11. Water - Capex Input'!$I86=E$3,'11. Water - Capex Input'!$G86,IF(D102&gt;1,D102-1,0))</f>
        <v>0</v>
      </c>
      <c r="F102" s="30">
        <f>IF('11. Water - Capex Input'!$I86=F$3,'11. Water - Capex Input'!$G86,IF(E102&gt;1,E102-1,0))</f>
        <v>0</v>
      </c>
      <c r="G102" s="30">
        <f>IF('11. Water - Capex Input'!$I86=G$3,'11. Water - Capex Input'!$G86,IF(F102&gt;1,F102-1,0))</f>
        <v>80</v>
      </c>
      <c r="H102" s="30">
        <f>IF('11. Water - Capex Input'!$I86=H$3,'11. Water - Capex Input'!$G86,IF(G102&gt;1,G102-1,0))</f>
        <v>79</v>
      </c>
    </row>
    <row r="103" spans="2:8">
      <c r="B103" s="152">
        <f>'11. Water - Capex Input'!F87</f>
        <v>0</v>
      </c>
      <c r="D103" s="30">
        <f>IF('11. Water - Capex Input'!$I87=D$3,'11. Water - Capex Input'!$G87,IF(C103&gt;1,C103-1,0))</f>
        <v>0</v>
      </c>
      <c r="E103" s="30">
        <f>IF('11. Water - Capex Input'!$I87=E$3,'11. Water - Capex Input'!$G87,IF(D103&gt;1,D103-1,0))</f>
        <v>0</v>
      </c>
      <c r="F103" s="30">
        <f>IF('11. Water - Capex Input'!$I87=F$3,'11. Water - Capex Input'!$G87,IF(E103&gt;1,E103-1,0))</f>
        <v>0</v>
      </c>
      <c r="G103" s="30">
        <f>IF('11. Water - Capex Input'!$I87=G$3,'11. Water - Capex Input'!$G87,IF(F103&gt;1,F103-1,0))</f>
        <v>0</v>
      </c>
      <c r="H103" s="30">
        <f>IF('11. Water - Capex Input'!$I87=H$3,'11. Water - Capex Input'!$G87,IF(G103&gt;1,G103-1,0))</f>
        <v>80</v>
      </c>
    </row>
    <row r="104" spans="2:8">
      <c r="B104" s="152">
        <f>'11. Water - Capex Input'!F88</f>
        <v>0</v>
      </c>
      <c r="D104" s="30">
        <f>IF('11. Water - Capex Input'!$I88=D$3,'11. Water - Capex Input'!$G88,IF(C104&gt;1,C104-1,0))</f>
        <v>0</v>
      </c>
      <c r="E104" s="30">
        <f>IF('11. Water - Capex Input'!$I88=E$3,'11. Water - Capex Input'!$G88,IF(D104&gt;1,D104-1,0))</f>
        <v>0</v>
      </c>
      <c r="F104" s="30">
        <f>IF('11. Water - Capex Input'!$I88=F$3,'11. Water - Capex Input'!$G88,IF(E104&gt;1,E104-1,0))</f>
        <v>40</v>
      </c>
      <c r="G104" s="30">
        <f>IF('11. Water - Capex Input'!$I88=G$3,'11. Water - Capex Input'!$G88,IF(F104&gt;1,F104-1,0))</f>
        <v>39</v>
      </c>
      <c r="H104" s="30">
        <f>IF('11. Water - Capex Input'!$I88=H$3,'11. Water - Capex Input'!$G88,IF(G104&gt;1,G104-1,0))</f>
        <v>38</v>
      </c>
    </row>
    <row r="105" spans="2:8">
      <c r="B105" s="152">
        <f>'11. Water - Capex Input'!F89</f>
        <v>0</v>
      </c>
      <c r="D105" s="30">
        <f>IF('11. Water - Capex Input'!$I89=D$3,'11. Water - Capex Input'!$G89,IF(C105&gt;1,C105-1,0))</f>
        <v>0</v>
      </c>
      <c r="E105" s="30">
        <f>IF('11. Water - Capex Input'!$I89=E$3,'11. Water - Capex Input'!$G89,IF(D105&gt;1,D105-1,0))</f>
        <v>0</v>
      </c>
      <c r="F105" s="30">
        <f>IF('11. Water - Capex Input'!$I89=F$3,'11. Water - Capex Input'!$G89,IF(E105&gt;1,E105-1,0))</f>
        <v>0</v>
      </c>
      <c r="G105" s="30">
        <f>IF('11. Water - Capex Input'!$I89=G$3,'11. Water - Capex Input'!$G89,IF(F105&gt;1,F105-1,0))</f>
        <v>40</v>
      </c>
      <c r="H105" s="30">
        <f>IF('11. Water - Capex Input'!$I89=H$3,'11. Water - Capex Input'!$G89,IF(G105&gt;1,G105-1,0))</f>
        <v>39</v>
      </c>
    </row>
    <row r="106" spans="2:8">
      <c r="B106" s="152">
        <f>'11. Water - Capex Input'!F90</f>
        <v>0</v>
      </c>
      <c r="D106" s="30">
        <f>IF('11. Water - Capex Input'!$I90=D$3,'11. Water - Capex Input'!$G90,IF(C106&gt;1,C106-1,0))</f>
        <v>0</v>
      </c>
      <c r="E106" s="30">
        <f>IF('11. Water - Capex Input'!$I90=E$3,'11. Water - Capex Input'!$G90,IF(D106&gt;1,D106-1,0))</f>
        <v>0</v>
      </c>
      <c r="F106" s="30">
        <f>IF('11. Water - Capex Input'!$I90=F$3,'11. Water - Capex Input'!$G90,IF(E106&gt;1,E106-1,0))</f>
        <v>0</v>
      </c>
      <c r="G106" s="30">
        <f>IF('11. Water - Capex Input'!$I90=G$3,'11. Water - Capex Input'!$G90,IF(F106&gt;1,F106-1,0))</f>
        <v>0</v>
      </c>
      <c r="H106" s="30">
        <f>IF('11. Water - Capex Input'!$I90=H$3,'11. Water - Capex Input'!$G90,IF(G106&gt;1,G106-1,0))</f>
        <v>40</v>
      </c>
    </row>
    <row r="107" spans="2:8">
      <c r="B107" s="152">
        <f>'11. Water - Capex Input'!F91</f>
        <v>0</v>
      </c>
      <c r="D107" s="30">
        <f>IF('11. Water - Capex Input'!$I91=D$3,'11. Water - Capex Input'!$G91,IF(C107&gt;1,C107-1,0))</f>
        <v>0</v>
      </c>
      <c r="E107" s="30">
        <f>IF('11. Water - Capex Input'!$I91=E$3,'11. Water - Capex Input'!$G91,IF(D107&gt;1,D107-1,0))</f>
        <v>0</v>
      </c>
      <c r="F107" s="30">
        <f>IF('11. Water - Capex Input'!$I91=F$3,'11. Water - Capex Input'!$G91,IF(E107&gt;1,E107-1,0))</f>
        <v>0</v>
      </c>
      <c r="G107" s="30">
        <f>IF('11. Water - Capex Input'!$I91=G$3,'11. Water - Capex Input'!$G91,IF(F107&gt;1,F107-1,0))</f>
        <v>0</v>
      </c>
      <c r="H107" s="30">
        <f>IF('11. Water - Capex Input'!$I91=H$3,'11. Water - Capex Input'!$G91,IF(G107&gt;1,G107-1,0))</f>
        <v>40</v>
      </c>
    </row>
    <row r="108" spans="2:8">
      <c r="B108" s="152">
        <f>'11. Water - Capex Input'!F92</f>
        <v>0</v>
      </c>
      <c r="D108" s="30">
        <f>IF('11. Water - Capex Input'!$I92=D$3,'11. Water - Capex Input'!$G92,IF(C108&gt;1,C108-1,0))</f>
        <v>0</v>
      </c>
      <c r="E108" s="30">
        <f>IF('11. Water - Capex Input'!$I92=E$3,'11. Water - Capex Input'!$G92,IF(D108&gt;1,D108-1,0))</f>
        <v>0</v>
      </c>
      <c r="F108" s="30">
        <f>IF('11. Water - Capex Input'!$I92=F$3,'11. Water - Capex Input'!$G92,IF(E108&gt;1,E108-1,0))</f>
        <v>0</v>
      </c>
      <c r="G108" s="30">
        <f>IF('11. Water - Capex Input'!$I92=G$3,'11. Water - Capex Input'!$G92,IF(F108&gt;1,F108-1,0))</f>
        <v>0</v>
      </c>
      <c r="H108" s="30">
        <f>IF('11. Water - Capex Input'!$I92=H$3,'11. Water - Capex Input'!$G92,IF(G108&gt;1,G108-1,0))</f>
        <v>60</v>
      </c>
    </row>
    <row r="109" spans="2:8">
      <c r="B109" s="152">
        <f>'11. Water - Capex Input'!F93</f>
        <v>0</v>
      </c>
      <c r="D109" s="30">
        <f>IF('11. Water - Capex Input'!$I93=D$3,'11. Water - Capex Input'!$G93,IF(C109&gt;1,C109-1,0))</f>
        <v>0</v>
      </c>
      <c r="E109" s="30">
        <f>IF('11. Water - Capex Input'!$I93=E$3,'11. Water - Capex Input'!$G93,IF(D109&gt;1,D109-1,0))</f>
        <v>0</v>
      </c>
      <c r="F109" s="30">
        <f>IF('11. Water - Capex Input'!$I93=F$3,'11. Water - Capex Input'!$G93,IF(E109&gt;1,E109-1,0))</f>
        <v>0</v>
      </c>
      <c r="G109" s="30">
        <f>IF('11. Water - Capex Input'!$I93=G$3,'11. Water - Capex Input'!$G93,IF(F109&gt;1,F109-1,0))</f>
        <v>40</v>
      </c>
      <c r="H109" s="30">
        <f>IF('11. Water - Capex Input'!$I93=H$3,'11. Water - Capex Input'!$G93,IF(G109&gt;1,G109-1,0))</f>
        <v>39</v>
      </c>
    </row>
    <row r="110" spans="2:8">
      <c r="B110" s="152">
        <f>'11. Water - Capex Input'!F94</f>
        <v>0</v>
      </c>
      <c r="D110" s="30">
        <f>IF('11. Water - Capex Input'!$I94=D$3,'11. Water - Capex Input'!$G94,IF(C110&gt;1,C110-1,0))</f>
        <v>0</v>
      </c>
      <c r="E110" s="30">
        <f>IF('11. Water - Capex Input'!$I94=E$3,'11. Water - Capex Input'!$G94,IF(D110&gt;1,D110-1,0))</f>
        <v>0</v>
      </c>
      <c r="F110" s="30">
        <f>IF('11. Water - Capex Input'!$I94=F$3,'11. Water - Capex Input'!$G94,IF(E110&gt;1,E110-1,0))</f>
        <v>0</v>
      </c>
      <c r="G110" s="30">
        <f>IF('11. Water - Capex Input'!$I94=G$3,'11. Water - Capex Input'!$G94,IF(F110&gt;1,F110-1,0))</f>
        <v>0</v>
      </c>
      <c r="H110" s="30">
        <f>IF('11. Water - Capex Input'!$I94=H$3,'11. Water - Capex Input'!$G94,IF(G110&gt;1,G110-1,0))</f>
        <v>40</v>
      </c>
    </row>
    <row r="111" spans="2:8">
      <c r="B111" s="152">
        <f>'11. Water - Capex Input'!F95</f>
        <v>0</v>
      </c>
      <c r="D111" s="30">
        <f>IF('11. Water - Capex Input'!$I95=D$3,'11. Water - Capex Input'!$G95,IF(C111&gt;1,C111-1,0))</f>
        <v>0</v>
      </c>
      <c r="E111" s="30">
        <f>IF('11. Water - Capex Input'!$I95=E$3,'11. Water - Capex Input'!$G95,IF(D111&gt;1,D111-1,0))</f>
        <v>0</v>
      </c>
      <c r="F111" s="30">
        <f>IF('11. Water - Capex Input'!$I95=F$3,'11. Water - Capex Input'!$G95,IF(E111&gt;1,E111-1,0))</f>
        <v>0</v>
      </c>
      <c r="G111" s="30">
        <f>IF('11. Water - Capex Input'!$I95=G$3,'11. Water - Capex Input'!$G95,IF(F111&gt;1,F111-1,0))</f>
        <v>30</v>
      </c>
      <c r="H111" s="30">
        <f>IF('11. Water - Capex Input'!$I95=H$3,'11. Water - Capex Input'!$G95,IF(G111&gt;1,G111-1,0))</f>
        <v>29</v>
      </c>
    </row>
    <row r="112" spans="2:8">
      <c r="B112" s="152">
        <f>'11. Water - Capex Input'!F96</f>
        <v>0</v>
      </c>
      <c r="D112" s="30">
        <f>IF('11. Water - Capex Input'!$I96=D$3,'11. Water - Capex Input'!$G96,IF(C112&gt;1,C112-1,0))</f>
        <v>60</v>
      </c>
      <c r="E112" s="30">
        <f>IF('11. Water - Capex Input'!$I96=E$3,'11. Water - Capex Input'!$G96,IF(D112&gt;1,D112-1,0))</f>
        <v>59</v>
      </c>
      <c r="F112" s="30">
        <f>IF('11. Water - Capex Input'!$I96=F$3,'11. Water - Capex Input'!$G96,IF(E112&gt;1,E112-1,0))</f>
        <v>58</v>
      </c>
      <c r="G112" s="30">
        <f>IF('11. Water - Capex Input'!$I96=G$3,'11. Water - Capex Input'!$G96,IF(F112&gt;1,F112-1,0))</f>
        <v>57</v>
      </c>
      <c r="H112" s="30">
        <f>IF('11. Water - Capex Input'!$I96=H$3,'11. Water - Capex Input'!$G96,IF(G112&gt;1,G112-1,0))</f>
        <v>56</v>
      </c>
    </row>
    <row r="113" spans="2:8">
      <c r="B113" s="152">
        <f>'11. Water - Capex Input'!F97</f>
        <v>0</v>
      </c>
      <c r="D113" s="30">
        <f>IF('11. Water - Capex Input'!$I97=D$3,'11. Water - Capex Input'!$G97,IF(C113&gt;1,C113-1,0))</f>
        <v>0</v>
      </c>
      <c r="E113" s="30">
        <f>IF('11. Water - Capex Input'!$I97=E$3,'11. Water - Capex Input'!$G97,IF(D113&gt;1,D113-1,0))</f>
        <v>0</v>
      </c>
      <c r="F113" s="30">
        <f>IF('11. Water - Capex Input'!$I97=F$3,'11. Water - Capex Input'!$G97,IF(E113&gt;1,E113-1,0))</f>
        <v>40</v>
      </c>
      <c r="G113" s="30">
        <f>IF('11. Water - Capex Input'!$I97=G$3,'11. Water - Capex Input'!$G97,IF(F113&gt;1,F113-1,0))</f>
        <v>39</v>
      </c>
      <c r="H113" s="30">
        <f>IF('11. Water - Capex Input'!$I97=H$3,'11. Water - Capex Input'!$G97,IF(G113&gt;1,G113-1,0))</f>
        <v>38</v>
      </c>
    </row>
    <row r="114" spans="2:8">
      <c r="B114" s="152">
        <f>'11. Water - Capex Input'!F98</f>
        <v>0</v>
      </c>
      <c r="D114" s="30">
        <f>IF('11. Water - Capex Input'!$I98=D$3,'11. Water - Capex Input'!$G98,IF(C114&gt;1,C114-1,0))</f>
        <v>0</v>
      </c>
      <c r="E114" s="30">
        <f>IF('11. Water - Capex Input'!$I98=E$3,'11. Water - Capex Input'!$G98,IF(D114&gt;1,D114-1,0))</f>
        <v>0</v>
      </c>
      <c r="F114" s="30">
        <f>IF('11. Water - Capex Input'!$I98=F$3,'11. Water - Capex Input'!$G98,IF(E114&gt;1,E114-1,0))</f>
        <v>0</v>
      </c>
      <c r="G114" s="30">
        <f>IF('11. Water - Capex Input'!$I98=G$3,'11. Water - Capex Input'!$G98,IF(F114&gt;1,F114-1,0))</f>
        <v>40</v>
      </c>
      <c r="H114" s="30">
        <f>IF('11. Water - Capex Input'!$I98=H$3,'11. Water - Capex Input'!$G98,IF(G114&gt;1,G114-1,0))</f>
        <v>39</v>
      </c>
    </row>
    <row r="115" spans="2:8">
      <c r="B115" s="152">
        <f>'11. Water - Capex Input'!F99</f>
        <v>0</v>
      </c>
      <c r="D115" s="30">
        <f>IF('11. Water - Capex Input'!$I99=D$3,'11. Water - Capex Input'!$G99,IF(C115&gt;1,C115-1,0))</f>
        <v>0</v>
      </c>
      <c r="E115" s="30">
        <f>IF('11. Water - Capex Input'!$I99=E$3,'11. Water - Capex Input'!$G99,IF(D115&gt;1,D115-1,0))</f>
        <v>0</v>
      </c>
      <c r="F115" s="30">
        <f>IF('11. Water - Capex Input'!$I99=F$3,'11. Water - Capex Input'!$G99,IF(E115&gt;1,E115-1,0))</f>
        <v>0</v>
      </c>
      <c r="G115" s="30">
        <f>IF('11. Water - Capex Input'!$I99=G$3,'11. Water - Capex Input'!$G99,IF(F115&gt;1,F115-1,0))</f>
        <v>0</v>
      </c>
      <c r="H115" s="30">
        <f>IF('11. Water - Capex Input'!$I99=H$3,'11. Water - Capex Input'!$G99,IF(G115&gt;1,G115-1,0))</f>
        <v>40</v>
      </c>
    </row>
    <row r="116" spans="2:8">
      <c r="B116" s="152">
        <f>'11. Water - Capex Input'!F100</f>
        <v>0</v>
      </c>
      <c r="D116" s="30">
        <f>IF('11. Water - Capex Input'!$I100=D$3,'11. Water - Capex Input'!$G100,IF(C116&gt;1,C116-1,0))</f>
        <v>40</v>
      </c>
      <c r="E116" s="30">
        <f>IF('11. Water - Capex Input'!$I100=E$3,'11. Water - Capex Input'!$G100,IF(D116&gt;1,D116-1,0))</f>
        <v>39</v>
      </c>
      <c r="F116" s="30">
        <f>IF('11. Water - Capex Input'!$I100=F$3,'11. Water - Capex Input'!$G100,IF(E116&gt;1,E116-1,0))</f>
        <v>38</v>
      </c>
      <c r="G116" s="30">
        <f>IF('11. Water - Capex Input'!$I100=G$3,'11. Water - Capex Input'!$G100,IF(F116&gt;1,F116-1,0))</f>
        <v>37</v>
      </c>
      <c r="H116" s="30">
        <f>IF('11. Water - Capex Input'!$I100=H$3,'11. Water - Capex Input'!$G100,IF(G116&gt;1,G116-1,0))</f>
        <v>36</v>
      </c>
    </row>
    <row r="117" spans="2:8">
      <c r="B117" s="152">
        <f>'11. Water - Capex Input'!F101</f>
        <v>0</v>
      </c>
      <c r="D117" s="30">
        <f>IF('11. Water - Capex Input'!$I101=D$3,'11. Water - Capex Input'!$G101,IF(C117&gt;1,C117-1,0))</f>
        <v>0</v>
      </c>
      <c r="E117" s="30">
        <f>IF('11. Water - Capex Input'!$I101=E$3,'11. Water - Capex Input'!$G101,IF(D117&gt;1,D117-1,0))</f>
        <v>40</v>
      </c>
      <c r="F117" s="30">
        <f>IF('11. Water - Capex Input'!$I101=F$3,'11. Water - Capex Input'!$G101,IF(E117&gt;1,E117-1,0))</f>
        <v>39</v>
      </c>
      <c r="G117" s="30">
        <f>IF('11. Water - Capex Input'!$I101=G$3,'11. Water - Capex Input'!$G101,IF(F117&gt;1,F117-1,0))</f>
        <v>38</v>
      </c>
      <c r="H117" s="30">
        <f>IF('11. Water - Capex Input'!$I101=H$3,'11. Water - Capex Input'!$G101,IF(G117&gt;1,G117-1,0))</f>
        <v>37</v>
      </c>
    </row>
    <row r="118" spans="2:8">
      <c r="B118" s="152">
        <f>'11. Water - Capex Input'!F102</f>
        <v>0</v>
      </c>
      <c r="D118" s="30">
        <f>IF('11. Water - Capex Input'!$I102=D$3,'11. Water - Capex Input'!$G102,IF(C118&gt;1,C118-1,0))</f>
        <v>0</v>
      </c>
      <c r="E118" s="30">
        <f>IF('11. Water - Capex Input'!$I102=E$3,'11. Water - Capex Input'!$G102,IF(D118&gt;1,D118-1,0))</f>
        <v>0</v>
      </c>
      <c r="F118" s="30">
        <f>IF('11. Water - Capex Input'!$I102=F$3,'11. Water - Capex Input'!$G102,IF(E118&gt;1,E118-1,0))</f>
        <v>0</v>
      </c>
      <c r="G118" s="30">
        <f>IF('11. Water - Capex Input'!$I102=G$3,'11. Water - Capex Input'!$G102,IF(F118&gt;1,F118-1,0))</f>
        <v>0</v>
      </c>
      <c r="H118" s="30">
        <f>IF('11. Water - Capex Input'!$I102=H$3,'11. Water - Capex Input'!$G102,IF(G118&gt;1,G118-1,0))</f>
        <v>80</v>
      </c>
    </row>
    <row r="119" spans="2:8">
      <c r="B119" s="152">
        <f>'11. Water - Capex Input'!F103</f>
        <v>0</v>
      </c>
      <c r="D119" s="30">
        <f>IF('11. Water - Capex Input'!$I103=D$3,'11. Water - Capex Input'!$G103,IF(C119&gt;1,C119-1,0))</f>
        <v>40</v>
      </c>
      <c r="E119" s="30">
        <f>IF('11. Water - Capex Input'!$I103=E$3,'11. Water - Capex Input'!$G103,IF(D119&gt;1,D119-1,0))</f>
        <v>39</v>
      </c>
      <c r="F119" s="30">
        <f>IF('11. Water - Capex Input'!$I103=F$3,'11. Water - Capex Input'!$G103,IF(E119&gt;1,E119-1,0))</f>
        <v>38</v>
      </c>
      <c r="G119" s="30">
        <f>IF('11. Water - Capex Input'!$I103=G$3,'11. Water - Capex Input'!$G103,IF(F119&gt;1,F119-1,0))</f>
        <v>37</v>
      </c>
      <c r="H119" s="30">
        <f>IF('11. Water - Capex Input'!$I103=H$3,'11. Water - Capex Input'!$G103,IF(G119&gt;1,G119-1,0))</f>
        <v>36</v>
      </c>
    </row>
    <row r="120" spans="2:8">
      <c r="B120" s="152">
        <f>'11. Water - Capex Input'!F104</f>
        <v>0</v>
      </c>
      <c r="D120" s="30">
        <f>IF('11. Water - Capex Input'!$I104=D$3,'11. Water - Capex Input'!$G104,IF(C120&gt;1,C120-1,0))</f>
        <v>0</v>
      </c>
      <c r="E120" s="30">
        <f>IF('11. Water - Capex Input'!$I104=E$3,'11. Water - Capex Input'!$G104,IF(D120&gt;1,D120-1,0))</f>
        <v>40</v>
      </c>
      <c r="F120" s="30">
        <f>IF('11. Water - Capex Input'!$I104=F$3,'11. Water - Capex Input'!$G104,IF(E120&gt;1,E120-1,0))</f>
        <v>39</v>
      </c>
      <c r="G120" s="30">
        <f>IF('11. Water - Capex Input'!$I104=G$3,'11. Water - Capex Input'!$G104,IF(F120&gt;1,F120-1,0))</f>
        <v>38</v>
      </c>
      <c r="H120" s="30">
        <f>IF('11. Water - Capex Input'!$I104=H$3,'11. Water - Capex Input'!$G104,IF(G120&gt;1,G120-1,0))</f>
        <v>37</v>
      </c>
    </row>
    <row r="121" spans="2:8">
      <c r="B121" s="152">
        <f>'11. Water - Capex Input'!F105</f>
        <v>0</v>
      </c>
      <c r="D121" s="30">
        <f>IF('11. Water - Capex Input'!$I105=D$3,'11. Water - Capex Input'!$G105,IF(C121&gt;1,C121-1,0))</f>
        <v>0</v>
      </c>
      <c r="E121" s="30">
        <f>IF('11. Water - Capex Input'!$I105=E$3,'11. Water - Capex Input'!$G105,IF(D121&gt;1,D121-1,0))</f>
        <v>0</v>
      </c>
      <c r="F121" s="30">
        <f>IF('11. Water - Capex Input'!$I105=F$3,'11. Water - Capex Input'!$G105,IF(E121&gt;1,E121-1,0))</f>
        <v>40</v>
      </c>
      <c r="G121" s="30">
        <f>IF('11. Water - Capex Input'!$I105=G$3,'11. Water - Capex Input'!$G105,IF(F121&gt;1,F121-1,0))</f>
        <v>39</v>
      </c>
      <c r="H121" s="30">
        <f>IF('11. Water - Capex Input'!$I105=H$3,'11. Water - Capex Input'!$G105,IF(G121&gt;1,G121-1,0))</f>
        <v>38</v>
      </c>
    </row>
    <row r="122" spans="2:8">
      <c r="B122" s="152">
        <f>'11. Water - Capex Input'!F106</f>
        <v>0</v>
      </c>
      <c r="D122" s="30">
        <f>IF('11. Water - Capex Input'!$I106=D$3,'11. Water - Capex Input'!$G106,IF(C122&gt;1,C122-1,0))</f>
        <v>40</v>
      </c>
      <c r="E122" s="30">
        <f>IF('11. Water - Capex Input'!$I106=E$3,'11. Water - Capex Input'!$G106,IF(D122&gt;1,D122-1,0))</f>
        <v>39</v>
      </c>
      <c r="F122" s="30">
        <f>IF('11. Water - Capex Input'!$I106=F$3,'11. Water - Capex Input'!$G106,IF(E122&gt;1,E122-1,0))</f>
        <v>38</v>
      </c>
      <c r="G122" s="30">
        <f>IF('11. Water - Capex Input'!$I106=G$3,'11. Water - Capex Input'!$G106,IF(F122&gt;1,F122-1,0))</f>
        <v>37</v>
      </c>
      <c r="H122" s="30">
        <f>IF('11. Water - Capex Input'!$I106=H$3,'11. Water - Capex Input'!$G106,IF(G122&gt;1,G122-1,0))</f>
        <v>36</v>
      </c>
    </row>
    <row r="123" spans="2:8">
      <c r="B123" s="152">
        <f>'11. Water - Capex Input'!F107</f>
        <v>0</v>
      </c>
      <c r="D123" s="30">
        <f>IF('11. Water - Capex Input'!$I107=D$3,'11. Water - Capex Input'!$G107,IF(C123&gt;1,C123-1,0))</f>
        <v>0</v>
      </c>
      <c r="E123" s="30">
        <f>IF('11. Water - Capex Input'!$I107=E$3,'11. Water - Capex Input'!$G107,IF(D123&gt;1,D123-1,0))</f>
        <v>0</v>
      </c>
      <c r="F123" s="30">
        <f>IF('11. Water - Capex Input'!$I107=F$3,'11. Water - Capex Input'!$G107,IF(E123&gt;1,E123-1,0))</f>
        <v>0</v>
      </c>
      <c r="G123" s="30">
        <f>IF('11. Water - Capex Input'!$I107=G$3,'11. Water - Capex Input'!$G107,IF(F123&gt;1,F123-1,0))</f>
        <v>0</v>
      </c>
      <c r="H123" s="30">
        <f>IF('11. Water - Capex Input'!$I107=H$3,'11. Water - Capex Input'!$G107,IF(G123&gt;1,G123-1,0))</f>
        <v>40</v>
      </c>
    </row>
    <row r="124" spans="2:8">
      <c r="B124" s="152">
        <f>'11. Water - Capex Input'!F108</f>
        <v>0</v>
      </c>
      <c r="D124" s="30">
        <f>IF('11. Water - Capex Input'!$I108=D$3,'11. Water - Capex Input'!$G108,IF(C124&gt;1,C124-1,0))</f>
        <v>0</v>
      </c>
      <c r="E124" s="30">
        <f>IF('11. Water - Capex Input'!$I108=E$3,'11. Water - Capex Input'!$G108,IF(D124&gt;1,D124-1,0))</f>
        <v>0</v>
      </c>
      <c r="F124" s="30">
        <f>IF('11. Water - Capex Input'!$I108=F$3,'11. Water - Capex Input'!$G108,IF(E124&gt;1,E124-1,0))</f>
        <v>0</v>
      </c>
      <c r="G124" s="30">
        <f>IF('11. Water - Capex Input'!$I108=G$3,'11. Water - Capex Input'!$G108,IF(F124&gt;1,F124-1,0))</f>
        <v>0</v>
      </c>
      <c r="H124" s="30">
        <f>IF('11. Water - Capex Input'!$I108=H$3,'11. Water - Capex Input'!$G108,IF(G124&gt;1,G124-1,0))</f>
        <v>40</v>
      </c>
    </row>
    <row r="125" spans="2:8">
      <c r="B125" s="152">
        <f>'11. Water - Capex Input'!F109</f>
        <v>0</v>
      </c>
      <c r="D125" s="30">
        <f>IF('11. Water - Capex Input'!$I109=D$3,'11. Water - Capex Input'!$G109,IF(C125&gt;1,C125-1,0))</f>
        <v>100</v>
      </c>
      <c r="E125" s="30">
        <f>IF('11. Water - Capex Input'!$I109=E$3,'11. Water - Capex Input'!$G109,IF(D125&gt;1,D125-1,0))</f>
        <v>99</v>
      </c>
      <c r="F125" s="30">
        <f>IF('11. Water - Capex Input'!$I109=F$3,'11. Water - Capex Input'!$G109,IF(E125&gt;1,E125-1,0))</f>
        <v>98</v>
      </c>
      <c r="G125" s="30">
        <f>IF('11. Water - Capex Input'!$I109=G$3,'11. Water - Capex Input'!$G109,IF(F125&gt;1,F125-1,0))</f>
        <v>97</v>
      </c>
      <c r="H125" s="30">
        <f>IF('11. Water - Capex Input'!$I109=H$3,'11. Water - Capex Input'!$G109,IF(G125&gt;1,G125-1,0))</f>
        <v>96</v>
      </c>
    </row>
    <row r="126" spans="2:8">
      <c r="B126" s="152">
        <f>'11. Water - Capex Input'!F110</f>
        <v>0</v>
      </c>
      <c r="D126" s="30">
        <f>IF('11. Water - Capex Input'!$I110=D$3,'11. Water - Capex Input'!$G110,IF(C126&gt;1,C126-1,0))</f>
        <v>0</v>
      </c>
      <c r="E126" s="30">
        <f>IF('11. Water - Capex Input'!$I110=E$3,'11. Water - Capex Input'!$G110,IF(D126&gt;1,D126-1,0))</f>
        <v>100</v>
      </c>
      <c r="F126" s="30">
        <f>IF('11. Water - Capex Input'!$I110=F$3,'11. Water - Capex Input'!$G110,IF(E126&gt;1,E126-1,0))</f>
        <v>99</v>
      </c>
      <c r="G126" s="30">
        <f>IF('11. Water - Capex Input'!$I110=G$3,'11. Water - Capex Input'!$G110,IF(F126&gt;1,F126-1,0))</f>
        <v>98</v>
      </c>
      <c r="H126" s="30">
        <f>IF('11. Water - Capex Input'!$I110=H$3,'11. Water - Capex Input'!$G110,IF(G126&gt;1,G126-1,0))</f>
        <v>97</v>
      </c>
    </row>
    <row r="127" spans="2:8">
      <c r="B127" s="152">
        <f>'11. Water - Capex Input'!F111</f>
        <v>0</v>
      </c>
      <c r="D127" s="30">
        <f>IF('11. Water - Capex Input'!$I111=D$3,'11. Water - Capex Input'!$G111,IF(C127&gt;1,C127-1,0))</f>
        <v>0</v>
      </c>
      <c r="E127" s="30">
        <f>IF('11. Water - Capex Input'!$I111=E$3,'11. Water - Capex Input'!$G111,IF(D127&gt;1,D127-1,0))</f>
        <v>0</v>
      </c>
      <c r="F127" s="30">
        <f>IF('11. Water - Capex Input'!$I111=F$3,'11. Water - Capex Input'!$G111,IF(E127&gt;1,E127-1,0))</f>
        <v>0</v>
      </c>
      <c r="G127" s="30">
        <f>IF('11. Water - Capex Input'!$I111=G$3,'11. Water - Capex Input'!$G111,IF(F127&gt;1,F127-1,0))</f>
        <v>0</v>
      </c>
      <c r="H127" s="30">
        <f>IF('11. Water - Capex Input'!$I111=H$3,'11. Water - Capex Input'!$G111,IF(G127&gt;1,G127-1,0))</f>
        <v>50</v>
      </c>
    </row>
    <row r="128" spans="2:8">
      <c r="B128" s="152">
        <f>'11. Water - Capex Input'!F112</f>
        <v>0</v>
      </c>
      <c r="D128" s="30">
        <f>IF('11. Water - Capex Input'!$I112=D$3,'11. Water - Capex Input'!$G112,IF(C128&gt;1,C128-1,0))</f>
        <v>10</v>
      </c>
      <c r="E128" s="30">
        <f>IF('11. Water - Capex Input'!$I112=E$3,'11. Water - Capex Input'!$G112,IF(D128&gt;1,D128-1,0))</f>
        <v>9</v>
      </c>
      <c r="F128" s="30">
        <f>IF('11. Water - Capex Input'!$I112=F$3,'11. Water - Capex Input'!$G112,IF(E128&gt;1,E128-1,0))</f>
        <v>8</v>
      </c>
      <c r="G128" s="30">
        <f>IF('11. Water - Capex Input'!$I112=G$3,'11. Water - Capex Input'!$G112,IF(F128&gt;1,F128-1,0))</f>
        <v>7</v>
      </c>
      <c r="H128" s="30">
        <f>IF('11. Water - Capex Input'!$I112=H$3,'11. Water - Capex Input'!$G112,IF(G128&gt;1,G128-1,0))</f>
        <v>6</v>
      </c>
    </row>
    <row r="129" spans="2:8">
      <c r="B129" s="152">
        <f>'11. Water - Capex Input'!F113</f>
        <v>0</v>
      </c>
      <c r="D129" s="30">
        <f>IF('11. Water - Capex Input'!$I113=D$3,'11. Water - Capex Input'!$G113,IF(C129&gt;1,C129-1,0))</f>
        <v>5</v>
      </c>
      <c r="E129" s="30">
        <f>IF('11. Water - Capex Input'!$I113=E$3,'11. Water - Capex Input'!$G113,IF(D129&gt;1,D129-1,0))</f>
        <v>4</v>
      </c>
      <c r="F129" s="30">
        <f>IF('11. Water - Capex Input'!$I113=F$3,'11. Water - Capex Input'!$G113,IF(E129&gt;1,E129-1,0))</f>
        <v>3</v>
      </c>
      <c r="G129" s="30">
        <f>IF('11. Water - Capex Input'!$I113=G$3,'11. Water - Capex Input'!$G113,IF(F129&gt;1,F129-1,0))</f>
        <v>2</v>
      </c>
      <c r="H129" s="30">
        <f>IF('11. Water - Capex Input'!$I113=H$3,'11. Water - Capex Input'!$G113,IF(G129&gt;1,G129-1,0))</f>
        <v>1</v>
      </c>
    </row>
    <row r="130" spans="2:8">
      <c r="B130" s="152">
        <f>'11. Water - Capex Input'!F114</f>
        <v>0</v>
      </c>
      <c r="D130" s="30">
        <f>IF('11. Water - Capex Input'!$I114=D$3,'11. Water - Capex Input'!$G114,IF(C130&gt;1,C130-1,0))</f>
        <v>0</v>
      </c>
      <c r="E130" s="30">
        <f>IF('11. Water - Capex Input'!$I114=E$3,'11. Water - Capex Input'!$G114,IF(D130&gt;1,D130-1,0))</f>
        <v>15</v>
      </c>
      <c r="F130" s="30">
        <f>IF('11. Water - Capex Input'!$I114=F$3,'11. Water - Capex Input'!$G114,IF(E130&gt;1,E130-1,0))</f>
        <v>14</v>
      </c>
      <c r="G130" s="30">
        <f>IF('11. Water - Capex Input'!$I114=G$3,'11. Water - Capex Input'!$G114,IF(F130&gt;1,F130-1,0))</f>
        <v>13</v>
      </c>
      <c r="H130" s="30">
        <f>IF('11. Water - Capex Input'!$I114=H$3,'11. Water - Capex Input'!$G114,IF(G130&gt;1,G130-1,0))</f>
        <v>12</v>
      </c>
    </row>
    <row r="131" spans="2:8">
      <c r="B131" s="152">
        <f>'11. Water - Capex Input'!F115</f>
        <v>0</v>
      </c>
      <c r="D131" s="30">
        <f>IF('11. Water - Capex Input'!$I115=D$3,'11. Water - Capex Input'!$G115,IF(C131&gt;1,C131-1,0))</f>
        <v>5</v>
      </c>
      <c r="E131" s="30">
        <f>IF('11. Water - Capex Input'!$I115=E$3,'11. Water - Capex Input'!$G115,IF(D131&gt;1,D131-1,0))</f>
        <v>4</v>
      </c>
      <c r="F131" s="30">
        <f>IF('11. Water - Capex Input'!$I115=F$3,'11. Water - Capex Input'!$G115,IF(E131&gt;1,E131-1,0))</f>
        <v>3</v>
      </c>
      <c r="G131" s="30">
        <f>IF('11. Water - Capex Input'!$I115=G$3,'11. Water - Capex Input'!$G115,IF(F131&gt;1,F131-1,0))</f>
        <v>2</v>
      </c>
      <c r="H131" s="30">
        <f>IF('11. Water - Capex Input'!$I115=H$3,'11. Water - Capex Input'!$G115,IF(G131&gt;1,G131-1,0))</f>
        <v>1</v>
      </c>
    </row>
    <row r="132" spans="2:8">
      <c r="B132" s="152">
        <f>'11. Water - Capex Input'!F116</f>
        <v>0</v>
      </c>
      <c r="D132" s="30">
        <f>IF('11. Water - Capex Input'!$I116=D$3,'11. Water - Capex Input'!$G116,IF(C132&gt;1,C132-1,0))</f>
        <v>0</v>
      </c>
      <c r="E132" s="30">
        <f>IF('11. Water - Capex Input'!$I116=E$3,'11. Water - Capex Input'!$G116,IF(D132&gt;1,D132-1,0))</f>
        <v>5</v>
      </c>
      <c r="F132" s="30">
        <f>IF('11. Water - Capex Input'!$I116=F$3,'11. Water - Capex Input'!$G116,IF(E132&gt;1,E132-1,0))</f>
        <v>4</v>
      </c>
      <c r="G132" s="30">
        <f>IF('11. Water - Capex Input'!$I116=G$3,'11. Water - Capex Input'!$G116,IF(F132&gt;1,F132-1,0))</f>
        <v>3</v>
      </c>
      <c r="H132" s="30">
        <f>IF('11. Water - Capex Input'!$I116=H$3,'11. Water - Capex Input'!$G116,IF(G132&gt;1,G132-1,0))</f>
        <v>2</v>
      </c>
    </row>
    <row r="133" spans="2:8">
      <c r="B133" s="152">
        <f>'11. Water - Capex Input'!F117</f>
        <v>0</v>
      </c>
      <c r="D133" s="30">
        <f>IF('11. Water - Capex Input'!$I117=D$3,'11. Water - Capex Input'!$G117,IF(C133&gt;1,C133-1,0))</f>
        <v>0</v>
      </c>
      <c r="E133" s="30">
        <f>IF('11. Water - Capex Input'!$I117=E$3,'11. Water - Capex Input'!$G117,IF(D133&gt;1,D133-1,0))</f>
        <v>0</v>
      </c>
      <c r="F133" s="30">
        <f>IF('11. Water - Capex Input'!$I117=F$3,'11. Water - Capex Input'!$G117,IF(E133&gt;1,E133-1,0))</f>
        <v>5</v>
      </c>
      <c r="G133" s="30">
        <f>IF('11. Water - Capex Input'!$I117=G$3,'11. Water - Capex Input'!$G117,IF(F133&gt;1,F133-1,0))</f>
        <v>4</v>
      </c>
      <c r="H133" s="30">
        <f>IF('11. Water - Capex Input'!$I117=H$3,'11. Water - Capex Input'!$G117,IF(G133&gt;1,G133-1,0))</f>
        <v>3</v>
      </c>
    </row>
    <row r="134" spans="2:8">
      <c r="B134" s="152">
        <f>'11. Water - Capex Input'!F118</f>
        <v>0</v>
      </c>
      <c r="D134" s="30">
        <f>IF('11. Water - Capex Input'!$I118=D$3,'11. Water - Capex Input'!$G118,IF(C134&gt;1,C134-1,0))</f>
        <v>0</v>
      </c>
      <c r="E134" s="30">
        <f>IF('11. Water - Capex Input'!$I118=E$3,'11. Water - Capex Input'!$G118,IF(D134&gt;1,D134-1,0))</f>
        <v>0</v>
      </c>
      <c r="F134" s="30">
        <f>IF('11. Water - Capex Input'!$I118=F$3,'11. Water - Capex Input'!$G118,IF(E134&gt;1,E134-1,0))</f>
        <v>0</v>
      </c>
      <c r="G134" s="30">
        <f>IF('11. Water - Capex Input'!$I118=G$3,'11. Water - Capex Input'!$G118,IF(F134&gt;1,F134-1,0))</f>
        <v>5</v>
      </c>
      <c r="H134" s="30">
        <f>IF('11. Water - Capex Input'!$I118=H$3,'11. Water - Capex Input'!$G118,IF(G134&gt;1,G134-1,0))</f>
        <v>4</v>
      </c>
    </row>
    <row r="135" spans="2:8">
      <c r="B135" s="152">
        <f>'11. Water - Capex Input'!F119</f>
        <v>0</v>
      </c>
      <c r="D135" s="30">
        <f>IF('11. Water - Capex Input'!$I119=D$3,'11. Water - Capex Input'!$G119,IF(C135&gt;1,C135-1,0))</f>
        <v>0</v>
      </c>
      <c r="E135" s="30">
        <f>IF('11. Water - Capex Input'!$I119=E$3,'11. Water - Capex Input'!$G119,IF(D135&gt;1,D135-1,0))</f>
        <v>0</v>
      </c>
      <c r="F135" s="30">
        <f>IF('11. Water - Capex Input'!$I119=F$3,'11. Water - Capex Input'!$G119,IF(E135&gt;1,E135-1,0))</f>
        <v>0</v>
      </c>
      <c r="G135" s="30">
        <f>IF('11. Water - Capex Input'!$I119=G$3,'11. Water - Capex Input'!$G119,IF(F135&gt;1,F135-1,0))</f>
        <v>0</v>
      </c>
      <c r="H135" s="30">
        <f>IF('11. Water - Capex Input'!$I119=H$3,'11. Water - Capex Input'!$G119,IF(G135&gt;1,G135-1,0))</f>
        <v>5</v>
      </c>
    </row>
    <row r="136" spans="2:8">
      <c r="B136" s="152">
        <f>'11. Water - Capex Input'!F120</f>
        <v>0</v>
      </c>
      <c r="D136" s="30">
        <f>IF('11. Water - Capex Input'!$I120=D$3,'11. Water - Capex Input'!$G120,IF(C136&gt;1,C136-1,0))</f>
        <v>5</v>
      </c>
      <c r="E136" s="30">
        <f>IF('11. Water - Capex Input'!$I120=E$3,'11. Water - Capex Input'!$G120,IF(D136&gt;1,D136-1,0))</f>
        <v>4</v>
      </c>
      <c r="F136" s="30">
        <f>IF('11. Water - Capex Input'!$I120=F$3,'11. Water - Capex Input'!$G120,IF(E136&gt;1,E136-1,0))</f>
        <v>3</v>
      </c>
      <c r="G136" s="30">
        <f>IF('11. Water - Capex Input'!$I120=G$3,'11. Water - Capex Input'!$G120,IF(F136&gt;1,F136-1,0))</f>
        <v>2</v>
      </c>
      <c r="H136" s="30">
        <f>IF('11. Water - Capex Input'!$I120=H$3,'11. Water - Capex Input'!$G120,IF(G136&gt;1,G136-1,0))</f>
        <v>1</v>
      </c>
    </row>
    <row r="137" spans="2:8">
      <c r="B137" s="152">
        <f>'11. Water - Capex Input'!F121</f>
        <v>0</v>
      </c>
      <c r="D137" s="30">
        <f>IF('11. Water - Capex Input'!$I121=D$3,'11. Water - Capex Input'!$G121,IF(C137&gt;1,C137-1,0))</f>
        <v>20</v>
      </c>
      <c r="E137" s="30">
        <f>IF('11. Water - Capex Input'!$I121=E$3,'11. Water - Capex Input'!$G121,IF(D137&gt;1,D137-1,0))</f>
        <v>19</v>
      </c>
      <c r="F137" s="30">
        <f>IF('11. Water - Capex Input'!$I121=F$3,'11. Water - Capex Input'!$G121,IF(E137&gt;1,E137-1,0))</f>
        <v>18</v>
      </c>
      <c r="G137" s="30">
        <f>IF('11. Water - Capex Input'!$I121=G$3,'11. Water - Capex Input'!$G121,IF(F137&gt;1,F137-1,0))</f>
        <v>17</v>
      </c>
      <c r="H137" s="30">
        <f>IF('11. Water - Capex Input'!$I121=H$3,'11. Water - Capex Input'!$G121,IF(G137&gt;1,G137-1,0))</f>
        <v>16</v>
      </c>
    </row>
    <row r="138" spans="2:8">
      <c r="B138" s="152">
        <f>'11. Water - Capex Input'!F122</f>
        <v>0</v>
      </c>
      <c r="D138" s="30">
        <f>IF('11. Water - Capex Input'!$I122=D$3,'11. Water - Capex Input'!$G122,IF(C138&gt;1,C138-1,0))</f>
        <v>0</v>
      </c>
      <c r="E138" s="30">
        <f>IF('11. Water - Capex Input'!$I122=E$3,'11. Water - Capex Input'!$G122,IF(D138&gt;1,D138-1,0))</f>
        <v>20</v>
      </c>
      <c r="F138" s="30">
        <f>IF('11. Water - Capex Input'!$I122=F$3,'11. Water - Capex Input'!$G122,IF(E138&gt;1,E138-1,0))</f>
        <v>19</v>
      </c>
      <c r="G138" s="30">
        <f>IF('11. Water - Capex Input'!$I122=G$3,'11. Water - Capex Input'!$G122,IF(F138&gt;1,F138-1,0))</f>
        <v>18</v>
      </c>
      <c r="H138" s="30">
        <f>IF('11. Water - Capex Input'!$I122=H$3,'11. Water - Capex Input'!$G122,IF(G138&gt;1,G138-1,0))</f>
        <v>17</v>
      </c>
    </row>
    <row r="139" spans="2:8">
      <c r="B139" s="152">
        <f>'11. Water - Capex Input'!F123</f>
        <v>0</v>
      </c>
      <c r="D139" s="30">
        <f>IF('11. Water - Capex Input'!$I123=D$3,'11. Water - Capex Input'!$G123,IF(C139&gt;1,C139-1,0))</f>
        <v>30</v>
      </c>
      <c r="E139" s="30">
        <f>IF('11. Water - Capex Input'!$I123=E$3,'11. Water - Capex Input'!$G123,IF(D139&gt;1,D139-1,0))</f>
        <v>29</v>
      </c>
      <c r="F139" s="30">
        <f>IF('11. Water - Capex Input'!$I123=F$3,'11. Water - Capex Input'!$G123,IF(E139&gt;1,E139-1,0))</f>
        <v>28</v>
      </c>
      <c r="G139" s="30">
        <f>IF('11. Water - Capex Input'!$I123=G$3,'11. Water - Capex Input'!$G123,IF(F139&gt;1,F139-1,0))</f>
        <v>27</v>
      </c>
      <c r="H139" s="30">
        <f>IF('11. Water - Capex Input'!$I123=H$3,'11. Water - Capex Input'!$G123,IF(G139&gt;1,G139-1,0))</f>
        <v>26</v>
      </c>
    </row>
    <row r="140" spans="2:8">
      <c r="B140" s="152">
        <f>'11. Water - Capex Input'!F124</f>
        <v>0</v>
      </c>
      <c r="D140" s="30">
        <f>IF('11. Water - Capex Input'!$I124=D$3,'11. Water - Capex Input'!$G124,IF(C140&gt;1,C140-1,0))</f>
        <v>20</v>
      </c>
      <c r="E140" s="30">
        <f>IF('11. Water - Capex Input'!$I124=E$3,'11. Water - Capex Input'!$G124,IF(D140&gt;1,D140-1,0))</f>
        <v>19</v>
      </c>
      <c r="F140" s="30">
        <f>IF('11. Water - Capex Input'!$I124=F$3,'11. Water - Capex Input'!$G124,IF(E140&gt;1,E140-1,0))</f>
        <v>18</v>
      </c>
      <c r="G140" s="30">
        <f>IF('11. Water - Capex Input'!$I124=G$3,'11. Water - Capex Input'!$G124,IF(F140&gt;1,F140-1,0))</f>
        <v>17</v>
      </c>
      <c r="H140" s="30">
        <f>IF('11. Water - Capex Input'!$I124=H$3,'11. Water - Capex Input'!$G124,IF(G140&gt;1,G140-1,0))</f>
        <v>16</v>
      </c>
    </row>
    <row r="141" spans="2:8">
      <c r="B141" s="152">
        <f>'11. Water - Capex Input'!F125</f>
        <v>0</v>
      </c>
      <c r="D141" s="30">
        <f>IF('11. Water - Capex Input'!$I125=D$3,'11. Water - Capex Input'!$G125,IF(C141&gt;1,C141-1,0))</f>
        <v>40</v>
      </c>
      <c r="E141" s="30">
        <f>IF('11. Water - Capex Input'!$I125=E$3,'11. Water - Capex Input'!$G125,IF(D141&gt;1,D141-1,0))</f>
        <v>39</v>
      </c>
      <c r="F141" s="30">
        <f>IF('11. Water - Capex Input'!$I125=F$3,'11. Water - Capex Input'!$G125,IF(E141&gt;1,E141-1,0))</f>
        <v>38</v>
      </c>
      <c r="G141" s="30">
        <f>IF('11. Water - Capex Input'!$I125=G$3,'11. Water - Capex Input'!$G125,IF(F141&gt;1,F141-1,0))</f>
        <v>37</v>
      </c>
      <c r="H141" s="30">
        <f>IF('11. Water - Capex Input'!$I125=H$3,'11. Water - Capex Input'!$G125,IF(G141&gt;1,G141-1,0))</f>
        <v>36</v>
      </c>
    </row>
    <row r="142" spans="2:8">
      <c r="B142" s="152">
        <f>'11. Water - Capex Input'!F126</f>
        <v>0</v>
      </c>
      <c r="D142" s="30">
        <f>IF('11. Water - Capex Input'!$I126=D$3,'11. Water - Capex Input'!$G126,IF(C142&gt;1,C142-1,0))</f>
        <v>30</v>
      </c>
      <c r="E142" s="30">
        <f>IF('11. Water - Capex Input'!$I126=E$3,'11. Water - Capex Input'!$G126,IF(D142&gt;1,D142-1,0))</f>
        <v>29</v>
      </c>
      <c r="F142" s="30">
        <f>IF('11. Water - Capex Input'!$I126=F$3,'11. Water - Capex Input'!$G126,IF(E142&gt;1,E142-1,0))</f>
        <v>28</v>
      </c>
      <c r="G142" s="30">
        <f>IF('11. Water - Capex Input'!$I126=G$3,'11. Water - Capex Input'!$G126,IF(F142&gt;1,F142-1,0))</f>
        <v>27</v>
      </c>
      <c r="H142" s="30">
        <f>IF('11. Water - Capex Input'!$I126=H$3,'11. Water - Capex Input'!$G126,IF(G142&gt;1,G142-1,0))</f>
        <v>26</v>
      </c>
    </row>
    <row r="143" spans="2:8">
      <c r="B143" s="152">
        <f>'11. Water - Capex Input'!F127</f>
        <v>0</v>
      </c>
      <c r="D143" s="30">
        <f>IF('11. Water - Capex Input'!$I127=D$3,'11. Water - Capex Input'!$G127,IF(C143&gt;1,C143-1,0))</f>
        <v>100</v>
      </c>
      <c r="E143" s="30">
        <f>IF('11. Water - Capex Input'!$I127=E$3,'11. Water - Capex Input'!$G127,IF(D143&gt;1,D143-1,0))</f>
        <v>99</v>
      </c>
      <c r="F143" s="30">
        <f>IF('11. Water - Capex Input'!$I127=F$3,'11. Water - Capex Input'!$G127,IF(E143&gt;1,E143-1,0))</f>
        <v>98</v>
      </c>
      <c r="G143" s="30">
        <f>IF('11. Water - Capex Input'!$I127=G$3,'11. Water - Capex Input'!$G127,IF(F143&gt;1,F143-1,0))</f>
        <v>97</v>
      </c>
      <c r="H143" s="30">
        <f>IF('11. Water - Capex Input'!$I127=H$3,'11. Water - Capex Input'!$G127,IF(G143&gt;1,G143-1,0))</f>
        <v>96</v>
      </c>
    </row>
    <row r="144" spans="2:8">
      <c r="B144" s="152">
        <f>'11. Water - Capex Input'!F128</f>
        <v>0</v>
      </c>
      <c r="D144" s="30">
        <f>IF('11. Water - Capex Input'!$I128=D$3,'11. Water - Capex Input'!$G128,IF(C144&gt;1,C144-1,0))</f>
        <v>0</v>
      </c>
      <c r="E144" s="30">
        <f>IF('11. Water - Capex Input'!$I128=E$3,'11. Water - Capex Input'!$G128,IF(D144&gt;1,D144-1,0))</f>
        <v>100</v>
      </c>
      <c r="F144" s="30">
        <f>IF('11. Water - Capex Input'!$I128=F$3,'11. Water - Capex Input'!$G128,IF(E144&gt;1,E144-1,0))</f>
        <v>99</v>
      </c>
      <c r="G144" s="30">
        <f>IF('11. Water - Capex Input'!$I128=G$3,'11. Water - Capex Input'!$G128,IF(F144&gt;1,F144-1,0))</f>
        <v>98</v>
      </c>
      <c r="H144" s="30">
        <f>IF('11. Water - Capex Input'!$I128=H$3,'11. Water - Capex Input'!$G128,IF(G144&gt;1,G144-1,0))</f>
        <v>97</v>
      </c>
    </row>
    <row r="145" spans="2:8">
      <c r="B145" s="152">
        <f>'11. Water - Capex Input'!F129</f>
        <v>0</v>
      </c>
      <c r="D145" s="30">
        <f>IF('11. Water - Capex Input'!$I129=D$3,'11. Water - Capex Input'!$G129,IF(C145&gt;1,C145-1,0))</f>
        <v>80</v>
      </c>
      <c r="E145" s="30">
        <f>IF('11. Water - Capex Input'!$I129=E$3,'11. Water - Capex Input'!$G129,IF(D145&gt;1,D145-1,0))</f>
        <v>79</v>
      </c>
      <c r="F145" s="30">
        <f>IF('11. Water - Capex Input'!$I129=F$3,'11. Water - Capex Input'!$G129,IF(E145&gt;1,E145-1,0))</f>
        <v>78</v>
      </c>
      <c r="G145" s="30">
        <f>IF('11. Water - Capex Input'!$I129=G$3,'11. Water - Capex Input'!$G129,IF(F145&gt;1,F145-1,0))</f>
        <v>77</v>
      </c>
      <c r="H145" s="30">
        <f>IF('11. Water - Capex Input'!$I129=H$3,'11. Water - Capex Input'!$G129,IF(G145&gt;1,G145-1,0))</f>
        <v>76</v>
      </c>
    </row>
    <row r="146" spans="2:8">
      <c r="B146" s="152">
        <f>'11. Water - Capex Input'!F130</f>
        <v>0</v>
      </c>
      <c r="D146" s="30">
        <f>IF('11. Water - Capex Input'!$I130=D$3,'11. Water - Capex Input'!$G130,IF(C146&gt;1,C146-1,0))</f>
        <v>10</v>
      </c>
      <c r="E146" s="30">
        <f>IF('11. Water - Capex Input'!$I130=E$3,'11. Water - Capex Input'!$G130,IF(D146&gt;1,D146-1,0))</f>
        <v>9</v>
      </c>
      <c r="F146" s="30">
        <f>IF('11. Water - Capex Input'!$I130=F$3,'11. Water - Capex Input'!$G130,IF(E146&gt;1,E146-1,0))</f>
        <v>8</v>
      </c>
      <c r="G146" s="30">
        <f>IF('11. Water - Capex Input'!$I130=G$3,'11. Water - Capex Input'!$G130,IF(F146&gt;1,F146-1,0))</f>
        <v>7</v>
      </c>
      <c r="H146" s="30">
        <f>IF('11. Water - Capex Input'!$I130=H$3,'11. Water - Capex Input'!$G130,IF(G146&gt;1,G146-1,0))</f>
        <v>6</v>
      </c>
    </row>
    <row r="147" spans="2:8">
      <c r="B147" s="152">
        <f>'11. Water - Capex Input'!F131</f>
        <v>0</v>
      </c>
      <c r="D147" s="30">
        <f>IF('11. Water - Capex Input'!$I131=D$3,'11. Water - Capex Input'!$G131,IF(C147&gt;1,C147-1,0))</f>
        <v>0</v>
      </c>
      <c r="E147" s="30">
        <f>IF('11. Water - Capex Input'!$I131=E$3,'11. Water - Capex Input'!$G131,IF(D147&gt;1,D147-1,0))</f>
        <v>10</v>
      </c>
      <c r="F147" s="30">
        <f>IF('11. Water - Capex Input'!$I131=F$3,'11. Water - Capex Input'!$G131,IF(E147&gt;1,E147-1,0))</f>
        <v>9</v>
      </c>
      <c r="G147" s="30">
        <f>IF('11. Water - Capex Input'!$I131=G$3,'11. Water - Capex Input'!$G131,IF(F147&gt;1,F147-1,0))</f>
        <v>8</v>
      </c>
      <c r="H147" s="30">
        <f>IF('11. Water - Capex Input'!$I131=H$3,'11. Water - Capex Input'!$G131,IF(G147&gt;1,G147-1,0))</f>
        <v>7</v>
      </c>
    </row>
    <row r="148" spans="2:8">
      <c r="B148" s="152">
        <f>'11. Water - Capex Input'!F132</f>
        <v>0</v>
      </c>
      <c r="D148" s="30">
        <f>IF('11. Water - Capex Input'!$I132=D$3,'11. Water - Capex Input'!$G132,IF(C148&gt;1,C148-1,0))</f>
        <v>40</v>
      </c>
      <c r="E148" s="30">
        <f>IF('11. Water - Capex Input'!$I132=E$3,'11. Water - Capex Input'!$G132,IF(D148&gt;1,D148-1,0))</f>
        <v>39</v>
      </c>
      <c r="F148" s="30">
        <f>IF('11. Water - Capex Input'!$I132=F$3,'11. Water - Capex Input'!$G132,IF(E148&gt;1,E148-1,0))</f>
        <v>38</v>
      </c>
      <c r="G148" s="30">
        <f>IF('11. Water - Capex Input'!$I132=G$3,'11. Water - Capex Input'!$G132,IF(F148&gt;1,F148-1,0))</f>
        <v>37</v>
      </c>
      <c r="H148" s="30">
        <f>IF('11. Water - Capex Input'!$I132=H$3,'11. Water - Capex Input'!$G132,IF(G148&gt;1,G148-1,0))</f>
        <v>36</v>
      </c>
    </row>
    <row r="149" spans="2:8">
      <c r="B149" s="152">
        <f>'11. Water - Capex Input'!F133</f>
        <v>0</v>
      </c>
      <c r="D149" s="30">
        <f>IF('11. Water - Capex Input'!$I133=D$3,'11. Water - Capex Input'!$G133,IF(C149&gt;1,C149-1,0))</f>
        <v>0</v>
      </c>
      <c r="E149" s="30">
        <f>IF('11. Water - Capex Input'!$I133=E$3,'11. Water - Capex Input'!$G133,IF(D149&gt;1,D149-1,0))</f>
        <v>40</v>
      </c>
      <c r="F149" s="30">
        <f>IF('11. Water - Capex Input'!$I133=F$3,'11. Water - Capex Input'!$G133,IF(E149&gt;1,E149-1,0))</f>
        <v>39</v>
      </c>
      <c r="G149" s="30">
        <f>IF('11. Water - Capex Input'!$I133=G$3,'11. Water - Capex Input'!$G133,IF(F149&gt;1,F149-1,0))</f>
        <v>38</v>
      </c>
      <c r="H149" s="30">
        <f>IF('11. Water - Capex Input'!$I133=H$3,'11. Water - Capex Input'!$G133,IF(G149&gt;1,G149-1,0))</f>
        <v>37</v>
      </c>
    </row>
    <row r="150" spans="2:8">
      <c r="B150" s="152">
        <f>'11. Water - Capex Input'!F134</f>
        <v>0</v>
      </c>
      <c r="D150" s="30">
        <f>IF('11. Water - Capex Input'!$I134=D$3,'11. Water - Capex Input'!$G134,IF(C150&gt;1,C150-1,0))</f>
        <v>30</v>
      </c>
      <c r="E150" s="30">
        <f>IF('11. Water - Capex Input'!$I134=E$3,'11. Water - Capex Input'!$G134,IF(D150&gt;1,D150-1,0))</f>
        <v>29</v>
      </c>
      <c r="F150" s="30">
        <f>IF('11. Water - Capex Input'!$I134=F$3,'11. Water - Capex Input'!$G134,IF(E150&gt;1,E150-1,0))</f>
        <v>28</v>
      </c>
      <c r="G150" s="30">
        <f>IF('11. Water - Capex Input'!$I134=G$3,'11. Water - Capex Input'!$G134,IF(F150&gt;1,F150-1,0))</f>
        <v>27</v>
      </c>
      <c r="H150" s="30">
        <f>IF('11. Water - Capex Input'!$I134=H$3,'11. Water - Capex Input'!$G134,IF(G150&gt;1,G150-1,0))</f>
        <v>26</v>
      </c>
    </row>
    <row r="151" spans="2:8">
      <c r="B151" s="152">
        <f>'11. Water - Capex Input'!F135</f>
        <v>0</v>
      </c>
      <c r="D151" s="30">
        <f>IF('11. Water - Capex Input'!$I135=D$3,'11. Water - Capex Input'!$G135,IF(C151&gt;1,C151-1,0))</f>
        <v>30</v>
      </c>
      <c r="E151" s="30">
        <f>IF('11. Water - Capex Input'!$I135=E$3,'11. Water - Capex Input'!$G135,IF(D151&gt;1,D151-1,0))</f>
        <v>29</v>
      </c>
      <c r="F151" s="30">
        <f>IF('11. Water - Capex Input'!$I135=F$3,'11. Water - Capex Input'!$G135,IF(E151&gt;1,E151-1,0))</f>
        <v>28</v>
      </c>
      <c r="G151" s="30">
        <f>IF('11. Water - Capex Input'!$I135=G$3,'11. Water - Capex Input'!$G135,IF(F151&gt;1,F151-1,0))</f>
        <v>27</v>
      </c>
      <c r="H151" s="30">
        <f>IF('11. Water - Capex Input'!$I135=H$3,'11. Water - Capex Input'!$G135,IF(G151&gt;1,G151-1,0))</f>
        <v>26</v>
      </c>
    </row>
    <row r="152" spans="2:8">
      <c r="B152" s="152">
        <f>'11. Water - Capex Input'!F136</f>
        <v>0</v>
      </c>
      <c r="D152" s="30">
        <f>IF('11. Water - Capex Input'!$I136=D$3,'11. Water - Capex Input'!$G136,IF(C152&gt;1,C152-1,0))</f>
        <v>30</v>
      </c>
      <c r="E152" s="30">
        <f>IF('11. Water - Capex Input'!$I136=E$3,'11. Water - Capex Input'!$G136,IF(D152&gt;1,D152-1,0))</f>
        <v>29</v>
      </c>
      <c r="F152" s="30">
        <f>IF('11. Water - Capex Input'!$I136=F$3,'11. Water - Capex Input'!$G136,IF(E152&gt;1,E152-1,0))</f>
        <v>28</v>
      </c>
      <c r="G152" s="30">
        <f>IF('11. Water - Capex Input'!$I136=G$3,'11. Water - Capex Input'!$G136,IF(F152&gt;1,F152-1,0))</f>
        <v>27</v>
      </c>
      <c r="H152" s="30">
        <f>IF('11. Water - Capex Input'!$I136=H$3,'11. Water - Capex Input'!$G136,IF(G152&gt;1,G152-1,0))</f>
        <v>26</v>
      </c>
    </row>
    <row r="153" spans="2:8">
      <c r="B153" s="152">
        <f>'11. Water - Capex Input'!F137</f>
        <v>0</v>
      </c>
      <c r="D153" s="30">
        <f>IF('11. Water - Capex Input'!$I137=D$3,'11. Water - Capex Input'!$G137,IF(C153&gt;1,C153-1,0))</f>
        <v>0</v>
      </c>
      <c r="E153" s="30">
        <f>IF('11. Water - Capex Input'!$I137=E$3,'11. Water - Capex Input'!$G137,IF(D153&gt;1,D153-1,0))</f>
        <v>30</v>
      </c>
      <c r="F153" s="30">
        <f>IF('11. Water - Capex Input'!$I137=F$3,'11. Water - Capex Input'!$G137,IF(E153&gt;1,E153-1,0))</f>
        <v>29</v>
      </c>
      <c r="G153" s="30">
        <f>IF('11. Water - Capex Input'!$I137=G$3,'11. Water - Capex Input'!$G137,IF(F153&gt;1,F153-1,0))</f>
        <v>28</v>
      </c>
      <c r="H153" s="30">
        <f>IF('11. Water - Capex Input'!$I137=H$3,'11. Water - Capex Input'!$G137,IF(G153&gt;1,G153-1,0))</f>
        <v>27</v>
      </c>
    </row>
    <row r="154" spans="2:8">
      <c r="B154" s="152">
        <f>'11. Water - Capex Input'!F138</f>
        <v>0</v>
      </c>
      <c r="D154" s="30">
        <f>IF('11. Water - Capex Input'!$I138=D$3,'11. Water - Capex Input'!$G138,IF(C154&gt;1,C154-1,0))</f>
        <v>0</v>
      </c>
      <c r="E154" s="30">
        <f>IF('11. Water - Capex Input'!$I138=E$3,'11. Water - Capex Input'!$G138,IF(D154&gt;1,D154-1,0))</f>
        <v>0</v>
      </c>
      <c r="F154" s="30">
        <f>IF('11. Water - Capex Input'!$I138=F$3,'11. Water - Capex Input'!$G138,IF(E154&gt;1,E154-1,0))</f>
        <v>30</v>
      </c>
      <c r="G154" s="30">
        <f>IF('11. Water - Capex Input'!$I138=G$3,'11. Water - Capex Input'!$G138,IF(F154&gt;1,F154-1,0))</f>
        <v>29</v>
      </c>
      <c r="H154" s="30">
        <f>IF('11. Water - Capex Input'!$I138=H$3,'11. Water - Capex Input'!$G138,IF(G154&gt;1,G154-1,0))</f>
        <v>28</v>
      </c>
    </row>
    <row r="155" spans="2:8">
      <c r="B155" s="152">
        <f>'11. Water - Capex Input'!F139</f>
        <v>0</v>
      </c>
      <c r="D155" s="30">
        <f>IF('11. Water - Capex Input'!$I139=D$3,'11. Water - Capex Input'!$G139,IF(C155&gt;1,C155-1,0))</f>
        <v>0</v>
      </c>
      <c r="E155" s="30">
        <f>IF('11. Water - Capex Input'!$I139=E$3,'11. Water - Capex Input'!$G139,IF(D155&gt;1,D155-1,0))</f>
        <v>0</v>
      </c>
      <c r="F155" s="30">
        <f>IF('11. Water - Capex Input'!$I139=F$3,'11. Water - Capex Input'!$G139,IF(E155&gt;1,E155-1,0))</f>
        <v>0</v>
      </c>
      <c r="G155" s="30">
        <f>IF('11. Water - Capex Input'!$I139=G$3,'11. Water - Capex Input'!$G139,IF(F155&gt;1,F155-1,0))</f>
        <v>30</v>
      </c>
      <c r="H155" s="30">
        <f>IF('11. Water - Capex Input'!$I139=H$3,'11. Water - Capex Input'!$G139,IF(G155&gt;1,G155-1,0))</f>
        <v>29</v>
      </c>
    </row>
    <row r="156" spans="2:8">
      <c r="B156" s="152">
        <f>'11. Water - Capex Input'!F140</f>
        <v>0</v>
      </c>
      <c r="D156" s="30">
        <f>IF('11. Water - Capex Input'!$I140=D$3,'11. Water - Capex Input'!$G140,IF(C156&gt;1,C156-1,0))</f>
        <v>0</v>
      </c>
      <c r="E156" s="30">
        <f>IF('11. Water - Capex Input'!$I140=E$3,'11. Water - Capex Input'!$G140,IF(D156&gt;1,D156-1,0))</f>
        <v>0</v>
      </c>
      <c r="F156" s="30">
        <f>IF('11. Water - Capex Input'!$I140=F$3,'11. Water - Capex Input'!$G140,IF(E156&gt;1,E156-1,0))</f>
        <v>0</v>
      </c>
      <c r="G156" s="30">
        <f>IF('11. Water - Capex Input'!$I140=G$3,'11. Water - Capex Input'!$G140,IF(F156&gt;1,F156-1,0))</f>
        <v>0</v>
      </c>
      <c r="H156" s="30">
        <f>IF('11. Water - Capex Input'!$I140=H$3,'11. Water - Capex Input'!$G140,IF(G156&gt;1,G156-1,0))</f>
        <v>30</v>
      </c>
    </row>
    <row r="157" spans="2:8">
      <c r="B157" s="152">
        <f>'11. Water - Capex Input'!F141</f>
        <v>0</v>
      </c>
      <c r="D157" s="30">
        <f>IF('11. Water - Capex Input'!$I141=D$3,'11. Water - Capex Input'!$G141,IF(C157&gt;1,C157-1,0))</f>
        <v>40</v>
      </c>
      <c r="E157" s="30">
        <f>IF('11. Water - Capex Input'!$I141=E$3,'11. Water - Capex Input'!$G141,IF(D157&gt;1,D157-1,0))</f>
        <v>39</v>
      </c>
      <c r="F157" s="30">
        <f>IF('11. Water - Capex Input'!$I141=F$3,'11. Water - Capex Input'!$G141,IF(E157&gt;1,E157-1,0))</f>
        <v>38</v>
      </c>
      <c r="G157" s="30">
        <f>IF('11. Water - Capex Input'!$I141=G$3,'11. Water - Capex Input'!$G141,IF(F157&gt;1,F157-1,0))</f>
        <v>37</v>
      </c>
      <c r="H157" s="30">
        <f>IF('11. Water - Capex Input'!$I141=H$3,'11. Water - Capex Input'!$G141,IF(G157&gt;1,G157-1,0))</f>
        <v>36</v>
      </c>
    </row>
    <row r="158" spans="2:8">
      <c r="B158" s="152">
        <f>'11. Water - Capex Input'!F142</f>
        <v>0</v>
      </c>
      <c r="D158" s="30">
        <f>IF('11. Water - Capex Input'!$I142=D$3,'11. Water - Capex Input'!$G142,IF(C158&gt;1,C158-1,0))</f>
        <v>0</v>
      </c>
      <c r="E158" s="30">
        <f>IF('11. Water - Capex Input'!$I142=E$3,'11. Water - Capex Input'!$G142,IF(D158&gt;1,D158-1,0))</f>
        <v>40</v>
      </c>
      <c r="F158" s="30">
        <f>IF('11. Water - Capex Input'!$I142=F$3,'11. Water - Capex Input'!$G142,IF(E158&gt;1,E158-1,0))</f>
        <v>39</v>
      </c>
      <c r="G158" s="30">
        <f>IF('11. Water - Capex Input'!$I142=G$3,'11. Water - Capex Input'!$G142,IF(F158&gt;1,F158-1,0))</f>
        <v>38</v>
      </c>
      <c r="H158" s="30">
        <f>IF('11. Water - Capex Input'!$I142=H$3,'11. Water - Capex Input'!$G142,IF(G158&gt;1,G158-1,0))</f>
        <v>37</v>
      </c>
    </row>
    <row r="159" spans="2:8">
      <c r="B159" s="152">
        <f>'11. Water - Capex Input'!F143</f>
        <v>0</v>
      </c>
      <c r="D159" s="30">
        <f>IF('11. Water - Capex Input'!$I143=D$3,'11. Water - Capex Input'!$G143,IF(C159&gt;1,C159-1,0))</f>
        <v>15</v>
      </c>
      <c r="E159" s="30">
        <f>IF('11. Water - Capex Input'!$I143=E$3,'11. Water - Capex Input'!$G143,IF(D159&gt;1,D159-1,0))</f>
        <v>14</v>
      </c>
      <c r="F159" s="30">
        <f>IF('11. Water - Capex Input'!$I143=F$3,'11. Water - Capex Input'!$G143,IF(E159&gt;1,E159-1,0))</f>
        <v>13</v>
      </c>
      <c r="G159" s="30">
        <f>IF('11. Water - Capex Input'!$I143=G$3,'11. Water - Capex Input'!$G143,IF(F159&gt;1,F159-1,0))</f>
        <v>12</v>
      </c>
      <c r="H159" s="30">
        <f>IF('11. Water - Capex Input'!$I143=H$3,'11. Water - Capex Input'!$G143,IF(G159&gt;1,G159-1,0))</f>
        <v>11</v>
      </c>
    </row>
    <row r="160" spans="2:8">
      <c r="B160" s="152">
        <f>'11. Water - Capex Input'!F144</f>
        <v>0</v>
      </c>
      <c r="D160" s="30">
        <f>IF('11. Water - Capex Input'!$I144=D$3,'11. Water - Capex Input'!$G144,IF(C160&gt;1,C160-1,0))</f>
        <v>0</v>
      </c>
      <c r="E160" s="30">
        <f>IF('11. Water - Capex Input'!$I144=E$3,'11. Water - Capex Input'!$G144,IF(D160&gt;1,D160-1,0))</f>
        <v>80</v>
      </c>
      <c r="F160" s="30">
        <f>IF('11. Water - Capex Input'!$I144=F$3,'11. Water - Capex Input'!$G144,IF(E160&gt;1,E160-1,0))</f>
        <v>79</v>
      </c>
      <c r="G160" s="30">
        <f>IF('11. Water - Capex Input'!$I144=G$3,'11. Water - Capex Input'!$G144,IF(F160&gt;1,F160-1,0))</f>
        <v>78</v>
      </c>
      <c r="H160" s="30">
        <f>IF('11. Water - Capex Input'!$I144=H$3,'11. Water - Capex Input'!$G144,IF(G160&gt;1,G160-1,0))</f>
        <v>77</v>
      </c>
    </row>
    <row r="161" spans="2:8">
      <c r="B161" s="152">
        <f>'11. Water - Capex Input'!F145</f>
        <v>0</v>
      </c>
      <c r="D161" s="30">
        <f>IF('11. Water - Capex Input'!$I145=D$3,'11. Water - Capex Input'!$G145,IF(C161&gt;1,C161-1,0))</f>
        <v>40</v>
      </c>
      <c r="E161" s="30">
        <f>IF('11. Water - Capex Input'!$I145=E$3,'11. Water - Capex Input'!$G145,IF(D161&gt;1,D161-1,0))</f>
        <v>39</v>
      </c>
      <c r="F161" s="30">
        <f>IF('11. Water - Capex Input'!$I145=F$3,'11. Water - Capex Input'!$G145,IF(E161&gt;1,E161-1,0))</f>
        <v>38</v>
      </c>
      <c r="G161" s="30">
        <f>IF('11. Water - Capex Input'!$I145=G$3,'11. Water - Capex Input'!$G145,IF(F161&gt;1,F161-1,0))</f>
        <v>37</v>
      </c>
      <c r="H161" s="30">
        <f>IF('11. Water - Capex Input'!$I145=H$3,'11. Water - Capex Input'!$G145,IF(G161&gt;1,G161-1,0))</f>
        <v>36</v>
      </c>
    </row>
    <row r="162" spans="2:8">
      <c r="B162" s="152">
        <f>'11. Water - Capex Input'!F146</f>
        <v>0</v>
      </c>
      <c r="D162" s="30">
        <f>IF('11. Water - Capex Input'!$I146=D$3,'11. Water - Capex Input'!$G146,IF(C162&gt;1,C162-1,0))</f>
        <v>0</v>
      </c>
      <c r="E162" s="30">
        <f>IF('11. Water - Capex Input'!$I146=E$3,'11. Water - Capex Input'!$G146,IF(D162&gt;1,D162-1,0))</f>
        <v>60</v>
      </c>
      <c r="F162" s="30">
        <f>IF('11. Water - Capex Input'!$I146=F$3,'11. Water - Capex Input'!$G146,IF(E162&gt;1,E162-1,0))</f>
        <v>59</v>
      </c>
      <c r="G162" s="30">
        <f>IF('11. Water - Capex Input'!$I146=G$3,'11. Water - Capex Input'!$G146,IF(F162&gt;1,F162-1,0))</f>
        <v>58</v>
      </c>
      <c r="H162" s="30">
        <f>IF('11. Water - Capex Input'!$I146=H$3,'11. Water - Capex Input'!$G146,IF(G162&gt;1,G162-1,0))</f>
        <v>57</v>
      </c>
    </row>
    <row r="163" spans="2:8">
      <c r="B163" s="152">
        <f>'11. Water - Capex Input'!F147</f>
        <v>0</v>
      </c>
      <c r="D163" s="30">
        <f>IF('11. Water - Capex Input'!$I147=D$3,'11. Water - Capex Input'!$G147,IF(C163&gt;1,C163-1,0))</f>
        <v>0</v>
      </c>
      <c r="E163" s="30">
        <f>IF('11. Water - Capex Input'!$I147=E$3,'11. Water - Capex Input'!$G147,IF(D163&gt;1,D163-1,0))</f>
        <v>10</v>
      </c>
      <c r="F163" s="30">
        <f>IF('11. Water - Capex Input'!$I147=F$3,'11. Water - Capex Input'!$G147,IF(E163&gt;1,E163-1,0))</f>
        <v>9</v>
      </c>
      <c r="G163" s="30">
        <f>IF('11. Water - Capex Input'!$I147=G$3,'11. Water - Capex Input'!$G147,IF(F163&gt;1,F163-1,0))</f>
        <v>8</v>
      </c>
      <c r="H163" s="30">
        <f>IF('11. Water - Capex Input'!$I147=H$3,'11. Water - Capex Input'!$G147,IF(G163&gt;1,G163-1,0))</f>
        <v>7</v>
      </c>
    </row>
    <row r="164" spans="2:8">
      <c r="B164" s="152">
        <f>'11. Water - Capex Input'!F148</f>
        <v>0</v>
      </c>
      <c r="D164" s="30">
        <f>IF('11. Water - Capex Input'!$I148=D$3,'11. Water - Capex Input'!$G148,IF(C164&gt;1,C164-1,0))</f>
        <v>15</v>
      </c>
      <c r="E164" s="30">
        <f>IF('11. Water - Capex Input'!$I148=E$3,'11. Water - Capex Input'!$G148,IF(D164&gt;1,D164-1,0))</f>
        <v>14</v>
      </c>
      <c r="F164" s="30">
        <f>IF('11. Water - Capex Input'!$I148=F$3,'11. Water - Capex Input'!$G148,IF(E164&gt;1,E164-1,0))</f>
        <v>13</v>
      </c>
      <c r="G164" s="30">
        <f>IF('11. Water - Capex Input'!$I148=G$3,'11. Water - Capex Input'!$G148,IF(F164&gt;1,F164-1,0))</f>
        <v>12</v>
      </c>
      <c r="H164" s="30">
        <f>IF('11. Water - Capex Input'!$I148=H$3,'11. Water - Capex Input'!$G148,IF(G164&gt;1,G164-1,0))</f>
        <v>11</v>
      </c>
    </row>
    <row r="165" spans="2:8">
      <c r="B165" s="152">
        <f>'11. Water - Capex Input'!F149</f>
        <v>0</v>
      </c>
      <c r="D165" s="30">
        <f>IF('11. Water - Capex Input'!$I149=D$3,'11. Water - Capex Input'!$G149,IF(C165&gt;1,C165-1,0))</f>
        <v>0</v>
      </c>
      <c r="E165" s="30">
        <f>IF('11. Water - Capex Input'!$I149=E$3,'11. Water - Capex Input'!$G149,IF(D165&gt;1,D165-1,0))</f>
        <v>15</v>
      </c>
      <c r="F165" s="30">
        <f>IF('11. Water - Capex Input'!$I149=F$3,'11. Water - Capex Input'!$G149,IF(E165&gt;1,E165-1,0))</f>
        <v>14</v>
      </c>
      <c r="G165" s="30">
        <f>IF('11. Water - Capex Input'!$I149=G$3,'11. Water - Capex Input'!$G149,IF(F165&gt;1,F165-1,0))</f>
        <v>13</v>
      </c>
      <c r="H165" s="30">
        <f>IF('11. Water - Capex Input'!$I149=H$3,'11. Water - Capex Input'!$G149,IF(G165&gt;1,G165-1,0))</f>
        <v>12</v>
      </c>
    </row>
    <row r="166" spans="2:8">
      <c r="B166" s="152">
        <f>'11. Water - Capex Input'!F150</f>
        <v>0</v>
      </c>
      <c r="D166" s="30">
        <f>IF('11. Water - Capex Input'!$I150=D$3,'11. Water - Capex Input'!$G150,IF(C166&gt;1,C166-1,0))</f>
        <v>40</v>
      </c>
      <c r="E166" s="30">
        <f>IF('11. Water - Capex Input'!$I150=E$3,'11. Water - Capex Input'!$G150,IF(D166&gt;1,D166-1,0))</f>
        <v>39</v>
      </c>
      <c r="F166" s="30">
        <f>IF('11. Water - Capex Input'!$I150=F$3,'11. Water - Capex Input'!$G150,IF(E166&gt;1,E166-1,0))</f>
        <v>38</v>
      </c>
      <c r="G166" s="30">
        <f>IF('11. Water - Capex Input'!$I150=G$3,'11. Water - Capex Input'!$G150,IF(F166&gt;1,F166-1,0))</f>
        <v>37</v>
      </c>
      <c r="H166" s="30">
        <f>IF('11. Water - Capex Input'!$I150=H$3,'11. Water - Capex Input'!$G150,IF(G166&gt;1,G166-1,0))</f>
        <v>36</v>
      </c>
    </row>
    <row r="167" spans="2:8">
      <c r="B167" s="152">
        <f>'11. Water - Capex Input'!F151</f>
        <v>0</v>
      </c>
      <c r="D167" s="30">
        <f>IF('11. Water - Capex Input'!$I151=D$3,'11. Water - Capex Input'!$G151,IF(C167&gt;1,C167-1,0))</f>
        <v>0</v>
      </c>
      <c r="E167" s="30">
        <f>IF('11. Water - Capex Input'!$I151=E$3,'11. Water - Capex Input'!$G151,IF(D167&gt;1,D167-1,0))</f>
        <v>40</v>
      </c>
      <c r="F167" s="30">
        <f>IF('11. Water - Capex Input'!$I151=F$3,'11. Water - Capex Input'!$G151,IF(E167&gt;1,E167-1,0))</f>
        <v>39</v>
      </c>
      <c r="G167" s="30">
        <f>IF('11. Water - Capex Input'!$I151=G$3,'11. Water - Capex Input'!$G151,IF(F167&gt;1,F167-1,0))</f>
        <v>38</v>
      </c>
      <c r="H167" s="30">
        <f>IF('11. Water - Capex Input'!$I151=H$3,'11. Water - Capex Input'!$G151,IF(G167&gt;1,G167-1,0))</f>
        <v>37</v>
      </c>
    </row>
    <row r="168" spans="2:8">
      <c r="B168" s="152">
        <f>'11. Water - Capex Input'!F152</f>
        <v>0</v>
      </c>
      <c r="D168" s="30">
        <f>IF('11. Water - Capex Input'!$I152=D$3,'11. Water - Capex Input'!$G152,IF(C168&gt;1,C168-1,0))</f>
        <v>60</v>
      </c>
      <c r="E168" s="30">
        <f>IF('11. Water - Capex Input'!$I152=E$3,'11. Water - Capex Input'!$G152,IF(D168&gt;1,D168-1,0))</f>
        <v>59</v>
      </c>
      <c r="F168" s="30">
        <f>IF('11. Water - Capex Input'!$I152=F$3,'11. Water - Capex Input'!$G152,IF(E168&gt;1,E168-1,0))</f>
        <v>58</v>
      </c>
      <c r="G168" s="30">
        <f>IF('11. Water - Capex Input'!$I152=G$3,'11. Water - Capex Input'!$G152,IF(F168&gt;1,F168-1,0))</f>
        <v>57</v>
      </c>
      <c r="H168" s="30">
        <f>IF('11. Water - Capex Input'!$I152=H$3,'11. Water - Capex Input'!$G152,IF(G168&gt;1,G168-1,0))</f>
        <v>56</v>
      </c>
    </row>
    <row r="169" spans="2:8">
      <c r="B169" s="152">
        <f>'11. Water - Capex Input'!F153</f>
        <v>0</v>
      </c>
      <c r="D169" s="30">
        <f>IF('11. Water - Capex Input'!$I153=D$3,'11. Water - Capex Input'!$G153,IF(C169&gt;1,C169-1,0))</f>
        <v>0</v>
      </c>
      <c r="E169" s="30">
        <f>IF('11. Water - Capex Input'!$I153=E$3,'11. Water - Capex Input'!$G153,IF(D169&gt;1,D169-1,0))</f>
        <v>60</v>
      </c>
      <c r="F169" s="30">
        <f>IF('11. Water - Capex Input'!$I153=F$3,'11. Water - Capex Input'!$G153,IF(E169&gt;1,E169-1,0))</f>
        <v>59</v>
      </c>
      <c r="G169" s="30">
        <f>IF('11. Water - Capex Input'!$I153=G$3,'11. Water - Capex Input'!$G153,IF(F169&gt;1,F169-1,0))</f>
        <v>58</v>
      </c>
      <c r="H169" s="30">
        <f>IF('11. Water - Capex Input'!$I153=H$3,'11. Water - Capex Input'!$G153,IF(G169&gt;1,G169-1,0))</f>
        <v>57</v>
      </c>
    </row>
    <row r="170" spans="2:8">
      <c r="B170" s="152">
        <f>'11. Water - Capex Input'!F154</f>
        <v>0</v>
      </c>
      <c r="D170" s="30">
        <f>IF('11. Water - Capex Input'!$I154=D$3,'11. Water - Capex Input'!$G154,IF(C170&gt;1,C170-1,0))</f>
        <v>0</v>
      </c>
      <c r="E170" s="30">
        <f>IF('11. Water - Capex Input'!$I154=E$3,'11. Water - Capex Input'!$G154,IF(D170&gt;1,D170-1,0))</f>
        <v>60</v>
      </c>
      <c r="F170" s="30">
        <f>IF('11. Water - Capex Input'!$I154=F$3,'11. Water - Capex Input'!$G154,IF(E170&gt;1,E170-1,0))</f>
        <v>59</v>
      </c>
      <c r="G170" s="30">
        <f>IF('11. Water - Capex Input'!$I154=G$3,'11. Water - Capex Input'!$G154,IF(F170&gt;1,F170-1,0))</f>
        <v>58</v>
      </c>
      <c r="H170" s="30">
        <f>IF('11. Water - Capex Input'!$I154=H$3,'11. Water - Capex Input'!$G154,IF(G170&gt;1,G170-1,0))</f>
        <v>57</v>
      </c>
    </row>
    <row r="171" spans="2:8">
      <c r="B171" s="152">
        <f>'11. Water - Capex Input'!F155</f>
        <v>0</v>
      </c>
      <c r="D171" s="30">
        <f>IF('11. Water - Capex Input'!$I155=D$3,'11. Water - Capex Input'!$G155,IF(C171&gt;1,C171-1,0))</f>
        <v>5</v>
      </c>
      <c r="E171" s="30">
        <f>IF('11. Water - Capex Input'!$I155=E$3,'11. Water - Capex Input'!$G155,IF(D171&gt;1,D171-1,0))</f>
        <v>4</v>
      </c>
      <c r="F171" s="30">
        <f>IF('11. Water - Capex Input'!$I155=F$3,'11. Water - Capex Input'!$G155,IF(E171&gt;1,E171-1,0))</f>
        <v>3</v>
      </c>
      <c r="G171" s="30">
        <f>IF('11. Water - Capex Input'!$I155=G$3,'11. Water - Capex Input'!$G155,IF(F171&gt;1,F171-1,0))</f>
        <v>2</v>
      </c>
      <c r="H171" s="30">
        <f>IF('11. Water - Capex Input'!$I155=H$3,'11. Water - Capex Input'!$G155,IF(G171&gt;1,G171-1,0))</f>
        <v>1</v>
      </c>
    </row>
    <row r="172" spans="2:8">
      <c r="B172" s="152">
        <f>'11. Water - Capex Input'!F156</f>
        <v>0</v>
      </c>
      <c r="D172" s="30">
        <f>IF('11. Water - Capex Input'!$I156=D$3,'11. Water - Capex Input'!$G156,IF(C172&gt;1,C172-1,0))</f>
        <v>0</v>
      </c>
      <c r="E172" s="30">
        <f>IF('11. Water - Capex Input'!$I156=E$3,'11. Water - Capex Input'!$G156,IF(D172&gt;1,D172-1,0))</f>
        <v>5</v>
      </c>
      <c r="F172" s="30">
        <f>IF('11. Water - Capex Input'!$I156=F$3,'11. Water - Capex Input'!$G156,IF(E172&gt;1,E172-1,0))</f>
        <v>4</v>
      </c>
      <c r="G172" s="30">
        <f>IF('11. Water - Capex Input'!$I156=G$3,'11. Water - Capex Input'!$G156,IF(F172&gt;1,F172-1,0))</f>
        <v>3</v>
      </c>
      <c r="H172" s="30">
        <f>IF('11. Water - Capex Input'!$I156=H$3,'11. Water - Capex Input'!$G156,IF(G172&gt;1,G172-1,0))</f>
        <v>2</v>
      </c>
    </row>
    <row r="173" spans="2:8">
      <c r="B173" s="152">
        <f>'11. Water - Capex Input'!F157</f>
        <v>0</v>
      </c>
      <c r="D173" s="30">
        <f>IF('11. Water - Capex Input'!$I157=D$3,'11. Water - Capex Input'!$G157,IF(C173&gt;1,C173-1,0))</f>
        <v>0</v>
      </c>
      <c r="E173" s="30">
        <f>IF('11. Water - Capex Input'!$I157=E$3,'11. Water - Capex Input'!$G157,IF(D173&gt;1,D173-1,0))</f>
        <v>20</v>
      </c>
      <c r="F173" s="30">
        <f>IF('11. Water - Capex Input'!$I157=F$3,'11. Water - Capex Input'!$G157,IF(E173&gt;1,E173-1,0))</f>
        <v>19</v>
      </c>
      <c r="G173" s="30">
        <f>IF('11. Water - Capex Input'!$I157=G$3,'11. Water - Capex Input'!$G157,IF(F173&gt;1,F173-1,0))</f>
        <v>18</v>
      </c>
      <c r="H173" s="30">
        <f>IF('11. Water - Capex Input'!$I157=H$3,'11. Water - Capex Input'!$G157,IF(G173&gt;1,G173-1,0))</f>
        <v>17</v>
      </c>
    </row>
    <row r="174" spans="2:8">
      <c r="B174" s="152">
        <f>'11. Water - Capex Input'!F158</f>
        <v>0</v>
      </c>
      <c r="D174" s="30">
        <f>IF('11. Water - Capex Input'!$I158=D$3,'11. Water - Capex Input'!$G158,IF(C174&gt;1,C174-1,0))</f>
        <v>40</v>
      </c>
      <c r="E174" s="30">
        <f>IF('11. Water - Capex Input'!$I158=E$3,'11. Water - Capex Input'!$G158,IF(D174&gt;1,D174-1,0))</f>
        <v>39</v>
      </c>
      <c r="F174" s="30">
        <f>IF('11. Water - Capex Input'!$I158=F$3,'11. Water - Capex Input'!$G158,IF(E174&gt;1,E174-1,0))</f>
        <v>38</v>
      </c>
      <c r="G174" s="30">
        <f>IF('11. Water - Capex Input'!$I158=G$3,'11. Water - Capex Input'!$G158,IF(F174&gt;1,F174-1,0))</f>
        <v>37</v>
      </c>
      <c r="H174" s="30">
        <f>IF('11. Water - Capex Input'!$I158=H$3,'11. Water - Capex Input'!$G158,IF(G174&gt;1,G174-1,0))</f>
        <v>36</v>
      </c>
    </row>
    <row r="175" spans="2:8">
      <c r="B175" s="152">
        <f>'11. Water - Capex Input'!F159</f>
        <v>0</v>
      </c>
      <c r="D175" s="30">
        <f>IF('11. Water - Capex Input'!$I159=D$3,'11. Water - Capex Input'!$G159,IF(C175&gt;1,C175-1,0))</f>
        <v>0</v>
      </c>
      <c r="E175" s="30">
        <f>IF('11. Water - Capex Input'!$I159=E$3,'11. Water - Capex Input'!$G159,IF(D175&gt;1,D175-1,0))</f>
        <v>40</v>
      </c>
      <c r="F175" s="30">
        <f>IF('11. Water - Capex Input'!$I159=F$3,'11. Water - Capex Input'!$G159,IF(E175&gt;1,E175-1,0))</f>
        <v>39</v>
      </c>
      <c r="G175" s="30">
        <f>IF('11. Water - Capex Input'!$I159=G$3,'11. Water - Capex Input'!$G159,IF(F175&gt;1,F175-1,0))</f>
        <v>38</v>
      </c>
      <c r="H175" s="30">
        <f>IF('11. Water - Capex Input'!$I159=H$3,'11. Water - Capex Input'!$G159,IF(G175&gt;1,G175-1,0))</f>
        <v>37</v>
      </c>
    </row>
    <row r="176" spans="2:8">
      <c r="B176" s="152">
        <f>'11. Water - Capex Input'!F160</f>
        <v>0</v>
      </c>
      <c r="D176" s="30">
        <f>IF('11. Water - Capex Input'!$I160=D$3,'11. Water - Capex Input'!$G160,IF(C176&gt;1,C176-1,0))</f>
        <v>0</v>
      </c>
      <c r="E176" s="30">
        <f>IF('11. Water - Capex Input'!$I160=E$3,'11. Water - Capex Input'!$G160,IF(D176&gt;1,D176-1,0))</f>
        <v>40</v>
      </c>
      <c r="F176" s="30">
        <f>IF('11. Water - Capex Input'!$I160=F$3,'11. Water - Capex Input'!$G160,IF(E176&gt;1,E176-1,0))</f>
        <v>39</v>
      </c>
      <c r="G176" s="30">
        <f>IF('11. Water - Capex Input'!$I160=G$3,'11. Water - Capex Input'!$G160,IF(F176&gt;1,F176-1,0))</f>
        <v>38</v>
      </c>
      <c r="H176" s="30">
        <f>IF('11. Water - Capex Input'!$I160=H$3,'11. Water - Capex Input'!$G160,IF(G176&gt;1,G176-1,0))</f>
        <v>37</v>
      </c>
    </row>
    <row r="177" spans="2:8">
      <c r="B177" s="152">
        <f>'11. Water - Capex Input'!F161</f>
        <v>0</v>
      </c>
      <c r="D177" s="30">
        <f>IF('11. Water - Capex Input'!$I161=D$3,'11. Water - Capex Input'!$G161,IF(C177&gt;1,C177-1,0))</f>
        <v>0</v>
      </c>
      <c r="E177" s="30">
        <f>IF('11. Water - Capex Input'!$I161=E$3,'11. Water - Capex Input'!$G161,IF(D177&gt;1,D177-1,0))</f>
        <v>40</v>
      </c>
      <c r="F177" s="30">
        <f>IF('11. Water - Capex Input'!$I161=F$3,'11. Water - Capex Input'!$G161,IF(E177&gt;1,E177-1,0))</f>
        <v>39</v>
      </c>
      <c r="G177" s="30">
        <f>IF('11. Water - Capex Input'!$I161=G$3,'11. Water - Capex Input'!$G161,IF(F177&gt;1,F177-1,0))</f>
        <v>38</v>
      </c>
      <c r="H177" s="30">
        <f>IF('11. Water - Capex Input'!$I161=H$3,'11. Water - Capex Input'!$G161,IF(G177&gt;1,G177-1,0))</f>
        <v>37</v>
      </c>
    </row>
    <row r="178" spans="2:8">
      <c r="B178" s="152">
        <f>'11. Water - Capex Input'!F162</f>
        <v>0</v>
      </c>
      <c r="D178" s="30">
        <f>IF('11. Water - Capex Input'!$I162=D$3,'11. Water - Capex Input'!$G162,IF(C178&gt;1,C178-1,0))</f>
        <v>0</v>
      </c>
      <c r="E178" s="30">
        <f>IF('11. Water - Capex Input'!$I162=E$3,'11. Water - Capex Input'!$G162,IF(D178&gt;1,D178-1,0))</f>
        <v>10</v>
      </c>
      <c r="F178" s="30">
        <f>IF('11. Water - Capex Input'!$I162=F$3,'11. Water - Capex Input'!$G162,IF(E178&gt;1,E178-1,0))</f>
        <v>9</v>
      </c>
      <c r="G178" s="30">
        <f>IF('11. Water - Capex Input'!$I162=G$3,'11. Water - Capex Input'!$G162,IF(F178&gt;1,F178-1,0))</f>
        <v>8</v>
      </c>
      <c r="H178" s="30">
        <f>IF('11. Water - Capex Input'!$I162=H$3,'11. Water - Capex Input'!$G162,IF(G178&gt;1,G178-1,0))</f>
        <v>7</v>
      </c>
    </row>
    <row r="179" spans="2:8">
      <c r="B179" s="152">
        <f>'11. Water - Capex Input'!F163</f>
        <v>0</v>
      </c>
      <c r="D179" s="30">
        <f>IF('11. Water - Capex Input'!$I163=D$3,'11. Water - Capex Input'!$G163,IF(C179&gt;1,C179-1,0))</f>
        <v>0</v>
      </c>
      <c r="E179" s="30">
        <f>IF('11. Water - Capex Input'!$I163=E$3,'11. Water - Capex Input'!$G163,IF(D179&gt;1,D179-1,0))</f>
        <v>40</v>
      </c>
      <c r="F179" s="30">
        <f>IF('11. Water - Capex Input'!$I163=F$3,'11. Water - Capex Input'!$G163,IF(E179&gt;1,E179-1,0))</f>
        <v>39</v>
      </c>
      <c r="G179" s="30">
        <f>IF('11. Water - Capex Input'!$I163=G$3,'11. Water - Capex Input'!$G163,IF(F179&gt;1,F179-1,0))</f>
        <v>38</v>
      </c>
      <c r="H179" s="30">
        <f>IF('11. Water - Capex Input'!$I163=H$3,'11. Water - Capex Input'!$G163,IF(G179&gt;1,G179-1,0))</f>
        <v>37</v>
      </c>
    </row>
    <row r="180" spans="2:8">
      <c r="B180" s="152">
        <f>'11. Water - Capex Input'!F164</f>
        <v>0</v>
      </c>
      <c r="D180" s="30">
        <f>IF('11. Water - Capex Input'!$I164=D$3,'11. Water - Capex Input'!$G164,IF(C180&gt;1,C180-1,0))</f>
        <v>150</v>
      </c>
      <c r="E180" s="30">
        <f>IF('11. Water - Capex Input'!$I164=E$3,'11. Water - Capex Input'!$G164,IF(D180&gt;1,D180-1,0))</f>
        <v>149</v>
      </c>
      <c r="F180" s="30">
        <f>IF('11. Water - Capex Input'!$I164=F$3,'11. Water - Capex Input'!$G164,IF(E180&gt;1,E180-1,0))</f>
        <v>148</v>
      </c>
      <c r="G180" s="30">
        <f>IF('11. Water - Capex Input'!$I164=G$3,'11. Water - Capex Input'!$G164,IF(F180&gt;1,F180-1,0))</f>
        <v>147</v>
      </c>
      <c r="H180" s="30">
        <f>IF('11. Water - Capex Input'!$I164=H$3,'11. Water - Capex Input'!$G164,IF(G180&gt;1,G180-1,0))</f>
        <v>146</v>
      </c>
    </row>
    <row r="181" spans="2:8">
      <c r="B181" s="152">
        <f>'11. Water - Capex Input'!F165</f>
        <v>0</v>
      </c>
      <c r="D181" s="30">
        <f>IF('11. Water - Capex Input'!$I165=D$3,'11. Water - Capex Input'!$G165,IF(C181&gt;1,C181-1,0))</f>
        <v>150</v>
      </c>
      <c r="E181" s="30">
        <f>IF('11. Water - Capex Input'!$I165=E$3,'11. Water - Capex Input'!$G165,IF(D181&gt;1,D181-1,0))</f>
        <v>149</v>
      </c>
      <c r="F181" s="30">
        <f>IF('11. Water - Capex Input'!$I165=F$3,'11. Water - Capex Input'!$G165,IF(E181&gt;1,E181-1,0))</f>
        <v>148</v>
      </c>
      <c r="G181" s="30">
        <f>IF('11. Water - Capex Input'!$I165=G$3,'11. Water - Capex Input'!$G165,IF(F181&gt;1,F181-1,0))</f>
        <v>147</v>
      </c>
      <c r="H181" s="30">
        <f>IF('11. Water - Capex Input'!$I165=H$3,'11. Water - Capex Input'!$G165,IF(G181&gt;1,G181-1,0))</f>
        <v>146</v>
      </c>
    </row>
    <row r="182" spans="2:8">
      <c r="B182" s="152">
        <f>'11. Water - Capex Input'!F166</f>
        <v>0</v>
      </c>
      <c r="D182" s="30">
        <f>IF('11. Water - Capex Input'!$I166=D$3,'11. Water - Capex Input'!$G166,IF(C182&gt;1,C182-1,0))</f>
        <v>30</v>
      </c>
      <c r="E182" s="30">
        <f>IF('11. Water - Capex Input'!$I166=E$3,'11. Water - Capex Input'!$G166,IF(D182&gt;1,D182-1,0))</f>
        <v>29</v>
      </c>
      <c r="F182" s="30">
        <f>IF('11. Water - Capex Input'!$I166=F$3,'11. Water - Capex Input'!$G166,IF(E182&gt;1,E182-1,0))</f>
        <v>28</v>
      </c>
      <c r="G182" s="30">
        <f>IF('11. Water - Capex Input'!$I166=G$3,'11. Water - Capex Input'!$G166,IF(F182&gt;1,F182-1,0))</f>
        <v>27</v>
      </c>
      <c r="H182" s="30">
        <f>IF('11. Water - Capex Input'!$I166=H$3,'11. Water - Capex Input'!$G166,IF(G182&gt;1,G182-1,0))</f>
        <v>26</v>
      </c>
    </row>
    <row r="183" spans="2:8">
      <c r="B183" s="152">
        <f>'11. Water - Capex Input'!F167</f>
        <v>0</v>
      </c>
      <c r="D183" s="30">
        <f>IF('11. Water - Capex Input'!$I167=D$3,'11. Water - Capex Input'!$G167,IF(C183&gt;1,C183-1,0))</f>
        <v>20</v>
      </c>
      <c r="E183" s="30">
        <f>IF('11. Water - Capex Input'!$I167=E$3,'11. Water - Capex Input'!$G167,IF(D183&gt;1,D183-1,0))</f>
        <v>19</v>
      </c>
      <c r="F183" s="30">
        <f>IF('11. Water - Capex Input'!$I167=F$3,'11. Water - Capex Input'!$G167,IF(E183&gt;1,E183-1,0))</f>
        <v>18</v>
      </c>
      <c r="G183" s="30">
        <f>IF('11. Water - Capex Input'!$I167=G$3,'11. Water - Capex Input'!$G167,IF(F183&gt;1,F183-1,0))</f>
        <v>17</v>
      </c>
      <c r="H183" s="30">
        <f>IF('11. Water - Capex Input'!$I167=H$3,'11. Water - Capex Input'!$G167,IF(G183&gt;1,G183-1,0))</f>
        <v>16</v>
      </c>
    </row>
    <row r="184" spans="2:8">
      <c r="B184" s="152">
        <f>'11. Water - Capex Input'!F168</f>
        <v>0</v>
      </c>
      <c r="D184" s="30">
        <f>IF('11. Water - Capex Input'!$I168=D$3,'11. Water - Capex Input'!$G168,IF(C184&gt;1,C184-1,0))</f>
        <v>10</v>
      </c>
      <c r="E184" s="30">
        <f>IF('11. Water - Capex Input'!$I168=E$3,'11. Water - Capex Input'!$G168,IF(D184&gt;1,D184-1,0))</f>
        <v>9</v>
      </c>
      <c r="F184" s="30">
        <f>IF('11. Water - Capex Input'!$I168=F$3,'11. Water - Capex Input'!$G168,IF(E184&gt;1,E184-1,0))</f>
        <v>8</v>
      </c>
      <c r="G184" s="30">
        <f>IF('11. Water - Capex Input'!$I168=G$3,'11. Water - Capex Input'!$G168,IF(F184&gt;1,F184-1,0))</f>
        <v>7</v>
      </c>
      <c r="H184" s="30">
        <f>IF('11. Water - Capex Input'!$I168=H$3,'11. Water - Capex Input'!$G168,IF(G184&gt;1,G184-1,0))</f>
        <v>6</v>
      </c>
    </row>
    <row r="185" spans="2:8">
      <c r="B185" s="152">
        <f>'11. Water - Capex Input'!F169</f>
        <v>0</v>
      </c>
      <c r="D185" s="30">
        <f>IF('11. Water - Capex Input'!$I169=D$3,'11. Water - Capex Input'!$G169,IF(C185&gt;1,C185-1,0))</f>
        <v>20</v>
      </c>
      <c r="E185" s="30">
        <f>IF('11. Water - Capex Input'!$I169=E$3,'11. Water - Capex Input'!$G169,IF(D185&gt;1,D185-1,0))</f>
        <v>19</v>
      </c>
      <c r="F185" s="30">
        <f>IF('11. Water - Capex Input'!$I169=F$3,'11. Water - Capex Input'!$G169,IF(E185&gt;1,E185-1,0))</f>
        <v>18</v>
      </c>
      <c r="G185" s="30">
        <f>IF('11. Water - Capex Input'!$I169=G$3,'11. Water - Capex Input'!$G169,IF(F185&gt;1,F185-1,0))</f>
        <v>17</v>
      </c>
      <c r="H185" s="30">
        <f>IF('11. Water - Capex Input'!$I169=H$3,'11. Water - Capex Input'!$G169,IF(G185&gt;1,G185-1,0))</f>
        <v>16</v>
      </c>
    </row>
    <row r="186" spans="2:8">
      <c r="B186" s="152">
        <f>'11. Water - Capex Input'!F170</f>
        <v>0</v>
      </c>
      <c r="D186" s="30">
        <f>IF('11. Water - Capex Input'!$I170=D$3,'11. Water - Capex Input'!$G170,IF(C186&gt;1,C186-1,0))</f>
        <v>30</v>
      </c>
      <c r="E186" s="30">
        <f>IF('11. Water - Capex Input'!$I170=E$3,'11. Water - Capex Input'!$G170,IF(D186&gt;1,D186-1,0))</f>
        <v>29</v>
      </c>
      <c r="F186" s="30">
        <f>IF('11. Water - Capex Input'!$I170=F$3,'11. Water - Capex Input'!$G170,IF(E186&gt;1,E186-1,0))</f>
        <v>28</v>
      </c>
      <c r="G186" s="30">
        <f>IF('11. Water - Capex Input'!$I170=G$3,'11. Water - Capex Input'!$G170,IF(F186&gt;1,F186-1,0))</f>
        <v>27</v>
      </c>
      <c r="H186" s="30">
        <f>IF('11. Water - Capex Input'!$I170=H$3,'11. Water - Capex Input'!$G170,IF(G186&gt;1,G186-1,0))</f>
        <v>26</v>
      </c>
    </row>
    <row r="187" spans="2:8">
      <c r="B187" s="152">
        <f>'11. Water - Capex Input'!F171</f>
        <v>0</v>
      </c>
      <c r="D187" s="30">
        <f>IF('11. Water - Capex Input'!$I171=D$3,'11. Water - Capex Input'!$G171,IF(C187&gt;1,C187-1,0))</f>
        <v>30</v>
      </c>
      <c r="E187" s="30">
        <f>IF('11. Water - Capex Input'!$I171=E$3,'11. Water - Capex Input'!$G171,IF(D187&gt;1,D187-1,0))</f>
        <v>29</v>
      </c>
      <c r="F187" s="30">
        <f>IF('11. Water - Capex Input'!$I171=F$3,'11. Water - Capex Input'!$G171,IF(E187&gt;1,E187-1,0))</f>
        <v>28</v>
      </c>
      <c r="G187" s="30">
        <f>IF('11. Water - Capex Input'!$I171=G$3,'11. Water - Capex Input'!$G171,IF(F187&gt;1,F187-1,0))</f>
        <v>27</v>
      </c>
      <c r="H187" s="30">
        <f>IF('11. Water - Capex Input'!$I171=H$3,'11. Water - Capex Input'!$G171,IF(G187&gt;1,G187-1,0))</f>
        <v>26</v>
      </c>
    </row>
    <row r="188" spans="2:8">
      <c r="B188" s="152">
        <f>'11. Water - Capex Input'!F172</f>
        <v>0</v>
      </c>
      <c r="D188" s="30">
        <f>IF('11. Water - Capex Input'!$I172=D$3,'11. Water - Capex Input'!$G172,IF(C188&gt;1,C188-1,0))</f>
        <v>20</v>
      </c>
      <c r="E188" s="30">
        <f>IF('11. Water - Capex Input'!$I172=E$3,'11. Water - Capex Input'!$G172,IF(D188&gt;1,D188-1,0))</f>
        <v>19</v>
      </c>
      <c r="F188" s="30">
        <f>IF('11. Water - Capex Input'!$I172=F$3,'11. Water - Capex Input'!$G172,IF(E188&gt;1,E188-1,0))</f>
        <v>18</v>
      </c>
      <c r="G188" s="30">
        <f>IF('11. Water - Capex Input'!$I172=G$3,'11. Water - Capex Input'!$G172,IF(F188&gt;1,F188-1,0))</f>
        <v>17</v>
      </c>
      <c r="H188" s="30">
        <f>IF('11. Water - Capex Input'!$I172=H$3,'11. Water - Capex Input'!$G172,IF(G188&gt;1,G188-1,0))</f>
        <v>16</v>
      </c>
    </row>
    <row r="189" spans="2:8">
      <c r="B189" s="152">
        <f>'11. Water - Capex Input'!F173</f>
        <v>0</v>
      </c>
      <c r="D189" s="30">
        <f>IF('11. Water - Capex Input'!$I173=D$3,'11. Water - Capex Input'!$G173,IF(C189&gt;1,C189-1,0))</f>
        <v>20</v>
      </c>
      <c r="E189" s="30">
        <f>IF('11. Water - Capex Input'!$I173=E$3,'11. Water - Capex Input'!$G173,IF(D189&gt;1,D189-1,0))</f>
        <v>19</v>
      </c>
      <c r="F189" s="30">
        <f>IF('11. Water - Capex Input'!$I173=F$3,'11. Water - Capex Input'!$G173,IF(E189&gt;1,E189-1,0))</f>
        <v>18</v>
      </c>
      <c r="G189" s="30">
        <f>IF('11. Water - Capex Input'!$I173=G$3,'11. Water - Capex Input'!$G173,IF(F189&gt;1,F189-1,0))</f>
        <v>17</v>
      </c>
      <c r="H189" s="30">
        <f>IF('11. Water - Capex Input'!$I173=H$3,'11. Water - Capex Input'!$G173,IF(G189&gt;1,G189-1,0))</f>
        <v>16</v>
      </c>
    </row>
    <row r="190" spans="2:8">
      <c r="B190" s="152">
        <f>'11. Water - Capex Input'!F174</f>
        <v>0</v>
      </c>
      <c r="D190" s="30">
        <f>IF('11. Water - Capex Input'!$I174=D$3,'11. Water - Capex Input'!$G174,IF(C190&gt;1,C190-1,0))</f>
        <v>100</v>
      </c>
      <c r="E190" s="30">
        <f>IF('11. Water - Capex Input'!$I174=E$3,'11. Water - Capex Input'!$G174,IF(D190&gt;1,D190-1,0))</f>
        <v>99</v>
      </c>
      <c r="F190" s="30">
        <f>IF('11. Water - Capex Input'!$I174=F$3,'11. Water - Capex Input'!$G174,IF(E190&gt;1,E190-1,0))</f>
        <v>98</v>
      </c>
      <c r="G190" s="30">
        <f>IF('11. Water - Capex Input'!$I174=G$3,'11. Water - Capex Input'!$G174,IF(F190&gt;1,F190-1,0))</f>
        <v>97</v>
      </c>
      <c r="H190" s="30">
        <f>IF('11. Water - Capex Input'!$I174=H$3,'11. Water - Capex Input'!$G174,IF(G190&gt;1,G190-1,0))</f>
        <v>96</v>
      </c>
    </row>
    <row r="191" spans="2:8">
      <c r="B191" s="152">
        <f>'11. Water - Capex Input'!F175</f>
        <v>0</v>
      </c>
      <c r="D191" s="30">
        <f>IF('11. Water - Capex Input'!$I175=D$3,'11. Water - Capex Input'!$G175,IF(C191&gt;1,C191-1,0))</f>
        <v>100</v>
      </c>
      <c r="E191" s="30">
        <f>IF('11. Water - Capex Input'!$I175=E$3,'11. Water - Capex Input'!$G175,IF(D191&gt;1,D191-1,0))</f>
        <v>99</v>
      </c>
      <c r="F191" s="30">
        <f>IF('11. Water - Capex Input'!$I175=F$3,'11. Water - Capex Input'!$G175,IF(E191&gt;1,E191-1,0))</f>
        <v>98</v>
      </c>
      <c r="G191" s="30">
        <f>IF('11. Water - Capex Input'!$I175=G$3,'11. Water - Capex Input'!$G175,IF(F191&gt;1,F191-1,0))</f>
        <v>97</v>
      </c>
      <c r="H191" s="30">
        <f>IF('11. Water - Capex Input'!$I175=H$3,'11. Water - Capex Input'!$G175,IF(G191&gt;1,G191-1,0))</f>
        <v>96</v>
      </c>
    </row>
    <row r="192" spans="2:8">
      <c r="B192" s="152">
        <f>'11. Water - Capex Input'!F176</f>
        <v>0</v>
      </c>
      <c r="D192" s="30">
        <f>IF('11. Water - Capex Input'!$I176=D$3,'11. Water - Capex Input'!$G176,IF(C192&gt;1,C192-1,0))</f>
        <v>10</v>
      </c>
      <c r="E192" s="30">
        <f>IF('11. Water - Capex Input'!$I176=E$3,'11. Water - Capex Input'!$G176,IF(D192&gt;1,D192-1,0))</f>
        <v>9</v>
      </c>
      <c r="F192" s="30">
        <f>IF('11. Water - Capex Input'!$I176=F$3,'11. Water - Capex Input'!$G176,IF(E192&gt;1,E192-1,0))</f>
        <v>8</v>
      </c>
      <c r="G192" s="30">
        <f>IF('11. Water - Capex Input'!$I176=G$3,'11. Water - Capex Input'!$G176,IF(F192&gt;1,F192-1,0))</f>
        <v>7</v>
      </c>
      <c r="H192" s="30">
        <f>IF('11. Water - Capex Input'!$I176=H$3,'11. Water - Capex Input'!$G176,IF(G192&gt;1,G192-1,0))</f>
        <v>6</v>
      </c>
    </row>
    <row r="193" spans="2:8">
      <c r="B193" s="152">
        <f>'11. Water - Capex Input'!F177</f>
        <v>0</v>
      </c>
      <c r="D193" s="30">
        <f>IF('11. Water - Capex Input'!$I177=D$3,'11. Water - Capex Input'!$G177,IF(C193&gt;1,C193-1,0))</f>
        <v>25</v>
      </c>
      <c r="E193" s="30">
        <f>IF('11. Water - Capex Input'!$I177=E$3,'11. Water - Capex Input'!$G177,IF(D193&gt;1,D193-1,0))</f>
        <v>24</v>
      </c>
      <c r="F193" s="30">
        <f>IF('11. Water - Capex Input'!$I177=F$3,'11. Water - Capex Input'!$G177,IF(E193&gt;1,E193-1,0))</f>
        <v>23</v>
      </c>
      <c r="G193" s="30">
        <f>IF('11. Water - Capex Input'!$I177=G$3,'11. Water - Capex Input'!$G177,IF(F193&gt;1,F193-1,0))</f>
        <v>22</v>
      </c>
      <c r="H193" s="30">
        <f>IF('11. Water - Capex Input'!$I177=H$3,'11. Water - Capex Input'!$G177,IF(G193&gt;1,G193-1,0))</f>
        <v>21</v>
      </c>
    </row>
    <row r="194" spans="2:8">
      <c r="B194" s="152">
        <f>'11. Water - Capex Input'!F178</f>
        <v>0</v>
      </c>
      <c r="D194" s="30">
        <f>IF('11. Water - Capex Input'!$I178=D$3,'11. Water - Capex Input'!$G178,IF(C194&gt;1,C194-1,0))</f>
        <v>150</v>
      </c>
      <c r="E194" s="30">
        <f>IF('11. Water - Capex Input'!$I178=E$3,'11. Water - Capex Input'!$G178,IF(D194&gt;1,D194-1,0))</f>
        <v>149</v>
      </c>
      <c r="F194" s="30">
        <f>IF('11. Water - Capex Input'!$I178=F$3,'11. Water - Capex Input'!$G178,IF(E194&gt;1,E194-1,0))</f>
        <v>148</v>
      </c>
      <c r="G194" s="30">
        <f>IF('11. Water - Capex Input'!$I178=G$3,'11. Water - Capex Input'!$G178,IF(F194&gt;1,F194-1,0))</f>
        <v>147</v>
      </c>
      <c r="H194" s="30">
        <f>IF('11. Water - Capex Input'!$I178=H$3,'11. Water - Capex Input'!$G178,IF(G194&gt;1,G194-1,0))</f>
        <v>146</v>
      </c>
    </row>
    <row r="195" spans="2:8">
      <c r="B195" s="152">
        <f>'11. Water - Capex Input'!F179</f>
        <v>0</v>
      </c>
      <c r="D195" s="30">
        <f>IF('11. Water - Capex Input'!$I179=D$3,'11. Water - Capex Input'!$G179,IF(C195&gt;1,C195-1,0))</f>
        <v>100</v>
      </c>
      <c r="E195" s="30">
        <f>IF('11. Water - Capex Input'!$I179=E$3,'11. Water - Capex Input'!$G179,IF(D195&gt;1,D195-1,0))</f>
        <v>99</v>
      </c>
      <c r="F195" s="30">
        <f>IF('11. Water - Capex Input'!$I179=F$3,'11. Water - Capex Input'!$G179,IF(E195&gt;1,E195-1,0))</f>
        <v>98</v>
      </c>
      <c r="G195" s="30">
        <f>IF('11. Water - Capex Input'!$I179=G$3,'11. Water - Capex Input'!$G179,IF(F195&gt;1,F195-1,0))</f>
        <v>97</v>
      </c>
      <c r="H195" s="30">
        <f>IF('11. Water - Capex Input'!$I179=H$3,'11. Water - Capex Input'!$G179,IF(G195&gt;1,G195-1,0))</f>
        <v>96</v>
      </c>
    </row>
    <row r="196" spans="2:8">
      <c r="B196" s="152">
        <f>'11. Water - Capex Input'!F180</f>
        <v>0</v>
      </c>
      <c r="D196" s="30">
        <f>IF('11. Water - Capex Input'!$I180=D$3,'11. Water - Capex Input'!$G180,IF(C196&gt;1,C196-1,0))</f>
        <v>80</v>
      </c>
      <c r="E196" s="30">
        <f>IF('11. Water - Capex Input'!$I180=E$3,'11. Water - Capex Input'!$G180,IF(D196&gt;1,D196-1,0))</f>
        <v>79</v>
      </c>
      <c r="F196" s="30">
        <f>IF('11. Water - Capex Input'!$I180=F$3,'11. Water - Capex Input'!$G180,IF(E196&gt;1,E196-1,0))</f>
        <v>78</v>
      </c>
      <c r="G196" s="30">
        <f>IF('11. Water - Capex Input'!$I180=G$3,'11. Water - Capex Input'!$G180,IF(F196&gt;1,F196-1,0))</f>
        <v>77</v>
      </c>
      <c r="H196" s="30">
        <f>IF('11. Water - Capex Input'!$I180=H$3,'11. Water - Capex Input'!$G180,IF(G196&gt;1,G196-1,0))</f>
        <v>76</v>
      </c>
    </row>
    <row r="197" spans="2:8">
      <c r="B197" s="152">
        <f>'11. Water - Capex Input'!F181</f>
        <v>0</v>
      </c>
      <c r="D197" s="30">
        <f>IF('11. Water - Capex Input'!$I181=D$3,'11. Water - Capex Input'!$G181,IF(C197&gt;1,C197-1,0))</f>
        <v>60</v>
      </c>
      <c r="E197" s="30">
        <f>IF('11. Water - Capex Input'!$I181=E$3,'11. Water - Capex Input'!$G181,IF(D197&gt;1,D197-1,0))</f>
        <v>59</v>
      </c>
      <c r="F197" s="30">
        <f>IF('11. Water - Capex Input'!$I181=F$3,'11. Water - Capex Input'!$G181,IF(E197&gt;1,E197-1,0))</f>
        <v>58</v>
      </c>
      <c r="G197" s="30">
        <f>IF('11. Water - Capex Input'!$I181=G$3,'11. Water - Capex Input'!$G181,IF(F197&gt;1,F197-1,0))</f>
        <v>57</v>
      </c>
      <c r="H197" s="30">
        <f>IF('11. Water - Capex Input'!$I181=H$3,'11. Water - Capex Input'!$G181,IF(G197&gt;1,G197-1,0))</f>
        <v>56</v>
      </c>
    </row>
    <row r="198" spans="2:8">
      <c r="B198" s="152">
        <f>'11. Water - Capex Input'!F182</f>
        <v>0</v>
      </c>
      <c r="D198" s="30">
        <f>IF('11. Water - Capex Input'!$I182=D$3,'11. Water - Capex Input'!$G182,IF(C198&gt;1,C198-1,0))</f>
        <v>30</v>
      </c>
      <c r="E198" s="30">
        <f>IF('11. Water - Capex Input'!$I182=E$3,'11. Water - Capex Input'!$G182,IF(D198&gt;1,D198-1,0))</f>
        <v>29</v>
      </c>
      <c r="F198" s="30">
        <f>IF('11. Water - Capex Input'!$I182=F$3,'11. Water - Capex Input'!$G182,IF(E198&gt;1,E198-1,0))</f>
        <v>28</v>
      </c>
      <c r="G198" s="30">
        <f>IF('11. Water - Capex Input'!$I182=G$3,'11. Water - Capex Input'!$G182,IF(F198&gt;1,F198-1,0))</f>
        <v>27</v>
      </c>
      <c r="H198" s="30">
        <f>IF('11. Water - Capex Input'!$I182=H$3,'11. Water - Capex Input'!$G182,IF(G198&gt;1,G198-1,0))</f>
        <v>26</v>
      </c>
    </row>
    <row r="199" spans="2:8">
      <c r="B199" s="152">
        <f>'11. Water - Capex Input'!F183</f>
        <v>0</v>
      </c>
      <c r="D199" s="30">
        <f>IF('11. Water - Capex Input'!$I183=D$3,'11. Water - Capex Input'!$G183,IF(C199&gt;1,C199-1,0))</f>
        <v>30</v>
      </c>
      <c r="E199" s="30">
        <f>IF('11. Water - Capex Input'!$I183=E$3,'11. Water - Capex Input'!$G183,IF(D199&gt;1,D199-1,0))</f>
        <v>29</v>
      </c>
      <c r="F199" s="30">
        <f>IF('11. Water - Capex Input'!$I183=F$3,'11. Water - Capex Input'!$G183,IF(E199&gt;1,E199-1,0))</f>
        <v>28</v>
      </c>
      <c r="G199" s="30">
        <f>IF('11. Water - Capex Input'!$I183=G$3,'11. Water - Capex Input'!$G183,IF(F199&gt;1,F199-1,0))</f>
        <v>27</v>
      </c>
      <c r="H199" s="30">
        <f>IF('11. Water - Capex Input'!$I183=H$3,'11. Water - Capex Input'!$G183,IF(G199&gt;1,G199-1,0))</f>
        <v>26</v>
      </c>
    </row>
    <row r="200" spans="2:8">
      <c r="B200" s="152">
        <f>'11. Water - Capex Input'!F184</f>
        <v>0</v>
      </c>
      <c r="D200" s="30">
        <f>IF('11. Water - Capex Input'!$I184=D$3,'11. Water - Capex Input'!$G184,IF(C200&gt;1,C200-1,0))</f>
        <v>80</v>
      </c>
      <c r="E200" s="30">
        <f>IF('11. Water - Capex Input'!$I184=E$3,'11. Water - Capex Input'!$G184,IF(D200&gt;1,D200-1,0))</f>
        <v>79</v>
      </c>
      <c r="F200" s="30">
        <f>IF('11. Water - Capex Input'!$I184=F$3,'11. Water - Capex Input'!$G184,IF(E200&gt;1,E200-1,0))</f>
        <v>78</v>
      </c>
      <c r="G200" s="30">
        <f>IF('11. Water - Capex Input'!$I184=G$3,'11. Water - Capex Input'!$G184,IF(F200&gt;1,F200-1,0))</f>
        <v>77</v>
      </c>
      <c r="H200" s="30">
        <f>IF('11. Water - Capex Input'!$I184=H$3,'11. Water - Capex Input'!$G184,IF(G200&gt;1,G200-1,0))</f>
        <v>76</v>
      </c>
    </row>
    <row r="201" spans="2:8">
      <c r="B201" s="152">
        <f>'11. Water - Capex Input'!F185</f>
        <v>0</v>
      </c>
      <c r="D201" s="30">
        <f>IF('11. Water - Capex Input'!$I185=D$3,'11. Water - Capex Input'!$G185,IF(C201&gt;1,C201-1,0))</f>
        <v>10</v>
      </c>
      <c r="E201" s="30">
        <f>IF('11. Water - Capex Input'!$I185=E$3,'11. Water - Capex Input'!$G185,IF(D201&gt;1,D201-1,0))</f>
        <v>9</v>
      </c>
      <c r="F201" s="30">
        <f>IF('11. Water - Capex Input'!$I185=F$3,'11. Water - Capex Input'!$G185,IF(E201&gt;1,E201-1,0))</f>
        <v>8</v>
      </c>
      <c r="G201" s="30">
        <f>IF('11. Water - Capex Input'!$I185=G$3,'11. Water - Capex Input'!$G185,IF(F201&gt;1,F201-1,0))</f>
        <v>7</v>
      </c>
      <c r="H201" s="30">
        <f>IF('11. Water - Capex Input'!$I185=H$3,'11. Water - Capex Input'!$G185,IF(G201&gt;1,G201-1,0))</f>
        <v>6</v>
      </c>
    </row>
    <row r="202" spans="2:8">
      <c r="B202" s="2" t="str">
        <f>'11. Water - Capex Input'!F186</f>
        <v>Carndo Year 4 Reduction</v>
      </c>
      <c r="D202" s="30">
        <f>IF('11. Water - Capex Input'!$I186=D$3,'11. Water - Capex Input'!$G186,IF(C202&gt;1,C202-1,0))</f>
        <v>0</v>
      </c>
      <c r="E202" s="30">
        <f>IF('11. Water - Capex Input'!$I186=E$3,'11. Water - Capex Input'!$G186,IF(D202&gt;1,D202-1,0))</f>
        <v>0</v>
      </c>
      <c r="F202" s="30">
        <f>IF('11. Water - Capex Input'!$I186=F$3,'11. Water - Capex Input'!$G186,IF(E202&gt;1,E202-1,0))</f>
        <v>0</v>
      </c>
      <c r="G202" s="30">
        <f>IF('11. Water - Capex Input'!$I186=G$3,'11. Water - Capex Input'!$G186,IF(F202&gt;1,F202-1,0))</f>
        <v>34.086098305848935</v>
      </c>
      <c r="H202" s="30">
        <f>IF('11. Water - Capex Input'!$I186=H$3,'11. Water - Capex Input'!$G186,IF(G202&gt;1,G202-1,0))</f>
        <v>33.086098305848935</v>
      </c>
    </row>
    <row r="203" spans="2:8">
      <c r="B203" s="2" t="str">
        <f>'11. Water - Capex Input'!F187</f>
        <v>Carndo Year 5 Reduction</v>
      </c>
      <c r="D203" s="30">
        <f>IF('11. Water - Capex Input'!$I187=D$3,'11. Water - Capex Input'!$G187,IF(C203&gt;1,C203-1,0))</f>
        <v>0</v>
      </c>
      <c r="E203" s="30">
        <f>IF('11. Water - Capex Input'!$I187=E$3,'11. Water - Capex Input'!$G187,IF(D203&gt;1,D203-1,0))</f>
        <v>0</v>
      </c>
      <c r="F203" s="30">
        <f>IF('11. Water - Capex Input'!$I187=F$3,'11. Water - Capex Input'!$G187,IF(E203&gt;1,E203-1,0))</f>
        <v>0</v>
      </c>
      <c r="G203" s="30">
        <f>IF('11. Water - Capex Input'!$I187=G$3,'11. Water - Capex Input'!$G187,IF(F203&gt;1,F203-1,0))</f>
        <v>0</v>
      </c>
      <c r="H203" s="30">
        <f>IF('11. Water - Capex Input'!$I187=H$3,'11. Water - Capex Input'!$G187,IF(G203&gt;1,G203-1,0))</f>
        <v>34.086098305848942</v>
      </c>
    </row>
    <row r="204" spans="2:8">
      <c r="D204" s="30"/>
      <c r="E204" s="30"/>
      <c r="F204" s="30"/>
      <c r="G204" s="30"/>
      <c r="H204" s="30"/>
    </row>
    <row r="205" spans="2:8">
      <c r="D205" s="30"/>
      <c r="E205" s="30"/>
      <c r="F205" s="30"/>
      <c r="G205" s="30"/>
      <c r="H205" s="30"/>
    </row>
    <row r="206" spans="2:8" ht="15.75">
      <c r="B206" s="10" t="s">
        <v>116</v>
      </c>
      <c r="D206" s="30"/>
      <c r="E206" s="30"/>
      <c r="F206" s="30"/>
      <c r="G206" s="30"/>
      <c r="H206" s="30"/>
    </row>
    <row r="207" spans="2:8">
      <c r="B207" s="152">
        <f t="shared" ref="B207:B238" si="6">B21</f>
        <v>0</v>
      </c>
      <c r="D207" s="30">
        <v>0</v>
      </c>
      <c r="E207" s="30">
        <f>D1137</f>
        <v>164161.75445833331</v>
      </c>
      <c r="F207" s="30">
        <f t="shared" ref="F207:H207" si="7">E1137</f>
        <v>161379.35184039545</v>
      </c>
      <c r="G207" s="30">
        <f t="shared" si="7"/>
        <v>158596.9492224576</v>
      </c>
      <c r="H207" s="30">
        <f t="shared" si="7"/>
        <v>155814.54660451974</v>
      </c>
    </row>
    <row r="208" spans="2:8">
      <c r="B208" s="152">
        <f t="shared" si="6"/>
        <v>0</v>
      </c>
      <c r="D208" s="30">
        <v>0</v>
      </c>
      <c r="E208" s="30">
        <f t="shared" ref="E208:E271" si="8">D1138</f>
        <v>0</v>
      </c>
      <c r="F208" s="30">
        <f t="shared" ref="F208:F271" si="9">E1138</f>
        <v>504744.12770833331</v>
      </c>
      <c r="G208" s="30">
        <f t="shared" ref="G208:G271" si="10">F1138</f>
        <v>496189.14249293786</v>
      </c>
      <c r="H208" s="30">
        <f t="shared" ref="H208:H271" si="11">G1138</f>
        <v>487634.1572775424</v>
      </c>
    </row>
    <row r="209" spans="2:8">
      <c r="B209" s="152">
        <f t="shared" si="6"/>
        <v>0</v>
      </c>
      <c r="D209" s="30">
        <v>0</v>
      </c>
      <c r="E209" s="30">
        <f t="shared" si="8"/>
        <v>0</v>
      </c>
      <c r="F209" s="30">
        <f t="shared" si="9"/>
        <v>0</v>
      </c>
      <c r="G209" s="30">
        <f t="shared" si="10"/>
        <v>104554.8875</v>
      </c>
      <c r="H209" s="30">
        <f t="shared" si="11"/>
        <v>102782.77076271187</v>
      </c>
    </row>
    <row r="210" spans="2:8">
      <c r="B210" s="152">
        <f t="shared" si="6"/>
        <v>0</v>
      </c>
      <c r="D210" s="30">
        <v>0</v>
      </c>
      <c r="E210" s="30">
        <f t="shared" si="8"/>
        <v>95038.35533333334</v>
      </c>
      <c r="F210" s="30">
        <f t="shared" si="9"/>
        <v>88249.901380952389</v>
      </c>
      <c r="G210" s="30">
        <f t="shared" si="10"/>
        <v>81461.447428571439</v>
      </c>
      <c r="H210" s="30">
        <f t="shared" si="11"/>
        <v>74672.993476190488</v>
      </c>
    </row>
    <row r="211" spans="2:8">
      <c r="B211" s="152">
        <f t="shared" si="6"/>
        <v>0</v>
      </c>
      <c r="D211" s="30">
        <v>0</v>
      </c>
      <c r="E211" s="30">
        <f t="shared" si="8"/>
        <v>0</v>
      </c>
      <c r="F211" s="30">
        <f t="shared" si="9"/>
        <v>4088.1251666666667</v>
      </c>
      <c r="G211" s="30">
        <f t="shared" si="10"/>
        <v>3796.116226190476</v>
      </c>
      <c r="H211" s="30">
        <f t="shared" si="11"/>
        <v>3504.1072857142854</v>
      </c>
    </row>
    <row r="212" spans="2:8">
      <c r="B212" s="152">
        <f t="shared" si="6"/>
        <v>0</v>
      </c>
      <c r="D212" s="30">
        <v>0</v>
      </c>
      <c r="E212" s="30">
        <f t="shared" si="8"/>
        <v>270899.73166666669</v>
      </c>
      <c r="F212" s="30">
        <f t="shared" si="9"/>
        <v>266308.21079096047</v>
      </c>
      <c r="G212" s="30">
        <f t="shared" si="10"/>
        <v>261716.68991525425</v>
      </c>
      <c r="H212" s="30">
        <f t="shared" si="11"/>
        <v>257125.16903954803</v>
      </c>
    </row>
    <row r="213" spans="2:8">
      <c r="B213" s="152">
        <f t="shared" si="6"/>
        <v>0</v>
      </c>
      <c r="D213" s="30">
        <v>0</v>
      </c>
      <c r="E213" s="30">
        <f t="shared" si="8"/>
        <v>0</v>
      </c>
      <c r="F213" s="30">
        <f t="shared" si="9"/>
        <v>1820852.2142222223</v>
      </c>
      <c r="G213" s="30">
        <f t="shared" si="10"/>
        <v>1789990.3122862524</v>
      </c>
      <c r="H213" s="30">
        <f t="shared" si="11"/>
        <v>1759128.4103502824</v>
      </c>
    </row>
    <row r="214" spans="2:8">
      <c r="B214" s="152">
        <f t="shared" si="6"/>
        <v>0</v>
      </c>
      <c r="D214" s="30">
        <v>0</v>
      </c>
      <c r="E214" s="30">
        <f t="shared" si="8"/>
        <v>0</v>
      </c>
      <c r="F214" s="30">
        <f t="shared" si="9"/>
        <v>0</v>
      </c>
      <c r="G214" s="30">
        <f t="shared" si="10"/>
        <v>4313750</v>
      </c>
      <c r="H214" s="30">
        <f t="shared" si="11"/>
        <v>4240635.5932203392</v>
      </c>
    </row>
    <row r="215" spans="2:8">
      <c r="B215" s="152">
        <f t="shared" si="6"/>
        <v>0</v>
      </c>
      <c r="D215" s="30">
        <v>0</v>
      </c>
      <c r="E215" s="30">
        <f t="shared" si="8"/>
        <v>0</v>
      </c>
      <c r="F215" s="30">
        <f t="shared" si="9"/>
        <v>0</v>
      </c>
      <c r="G215" s="30">
        <f t="shared" si="10"/>
        <v>517498.13825479971</v>
      </c>
      <c r="H215" s="30">
        <f t="shared" si="11"/>
        <v>508726.98336912511</v>
      </c>
    </row>
    <row r="216" spans="2:8">
      <c r="B216" s="152">
        <f t="shared" si="6"/>
        <v>0</v>
      </c>
      <c r="D216" s="30">
        <v>0</v>
      </c>
      <c r="E216" s="30">
        <f t="shared" si="8"/>
        <v>0</v>
      </c>
      <c r="F216" s="30">
        <f t="shared" si="9"/>
        <v>0</v>
      </c>
      <c r="G216" s="30">
        <f t="shared" si="10"/>
        <v>0</v>
      </c>
      <c r="H216" s="30">
        <f t="shared" si="11"/>
        <v>2654832.3224611497</v>
      </c>
    </row>
    <row r="217" spans="2:8">
      <c r="B217" s="152">
        <f t="shared" si="6"/>
        <v>0</v>
      </c>
      <c r="D217" s="30">
        <v>0</v>
      </c>
      <c r="E217" s="30">
        <f t="shared" si="8"/>
        <v>0</v>
      </c>
      <c r="F217" s="30">
        <f t="shared" si="9"/>
        <v>0</v>
      </c>
      <c r="G217" s="30">
        <f t="shared" si="10"/>
        <v>0</v>
      </c>
      <c r="H217" s="30">
        <f t="shared" si="11"/>
        <v>0</v>
      </c>
    </row>
    <row r="218" spans="2:8">
      <c r="B218" s="152">
        <f t="shared" si="6"/>
        <v>0</v>
      </c>
      <c r="D218" s="30">
        <v>0</v>
      </c>
      <c r="E218" s="30">
        <f t="shared" si="8"/>
        <v>479362.11393750011</v>
      </c>
      <c r="F218" s="30">
        <f t="shared" si="9"/>
        <v>473294.23907753173</v>
      </c>
      <c r="G218" s="30">
        <f t="shared" si="10"/>
        <v>467226.36421756336</v>
      </c>
      <c r="H218" s="30">
        <f t="shared" si="11"/>
        <v>461158.48935759498</v>
      </c>
    </row>
    <row r="219" spans="2:8">
      <c r="B219" s="152">
        <f t="shared" si="6"/>
        <v>0</v>
      </c>
      <c r="D219" s="30">
        <v>0</v>
      </c>
      <c r="E219" s="30">
        <f t="shared" si="8"/>
        <v>0</v>
      </c>
      <c r="F219" s="30">
        <f t="shared" si="9"/>
        <v>408502.660875</v>
      </c>
      <c r="G219" s="30">
        <f t="shared" si="10"/>
        <v>403331.74111708859</v>
      </c>
      <c r="H219" s="30">
        <f t="shared" si="11"/>
        <v>398160.82135917718</v>
      </c>
    </row>
    <row r="220" spans="2:8">
      <c r="B220" s="152">
        <f t="shared" si="6"/>
        <v>0</v>
      </c>
      <c r="D220" s="30">
        <v>0</v>
      </c>
      <c r="E220" s="30">
        <f t="shared" si="8"/>
        <v>0</v>
      </c>
      <c r="F220" s="30">
        <f t="shared" si="9"/>
        <v>0</v>
      </c>
      <c r="G220" s="30">
        <f t="shared" si="10"/>
        <v>2952127.1625000001</v>
      </c>
      <c r="H220" s="30">
        <f t="shared" si="11"/>
        <v>2914758.4642405063</v>
      </c>
    </row>
    <row r="221" spans="2:8">
      <c r="B221" s="152">
        <f t="shared" si="6"/>
        <v>0</v>
      </c>
      <c r="D221" s="30">
        <v>0</v>
      </c>
      <c r="E221" s="30">
        <f t="shared" si="8"/>
        <v>0</v>
      </c>
      <c r="F221" s="30">
        <f t="shared" si="9"/>
        <v>0</v>
      </c>
      <c r="G221" s="30">
        <f t="shared" si="10"/>
        <v>0</v>
      </c>
      <c r="H221" s="30">
        <f t="shared" si="11"/>
        <v>3035176.8374999999</v>
      </c>
    </row>
    <row r="222" spans="2:8">
      <c r="B222" s="152">
        <f t="shared" si="6"/>
        <v>0</v>
      </c>
      <c r="D222" s="30">
        <v>0</v>
      </c>
      <c r="E222" s="30">
        <f t="shared" si="8"/>
        <v>0</v>
      </c>
      <c r="F222" s="30">
        <f t="shared" si="9"/>
        <v>0</v>
      </c>
      <c r="G222" s="30">
        <f t="shared" si="10"/>
        <v>0</v>
      </c>
      <c r="H222" s="30">
        <f t="shared" si="11"/>
        <v>0</v>
      </c>
    </row>
    <row r="223" spans="2:8">
      <c r="B223" s="152">
        <f t="shared" si="6"/>
        <v>0</v>
      </c>
      <c r="D223" s="30">
        <v>0</v>
      </c>
      <c r="E223" s="30">
        <f t="shared" si="8"/>
        <v>2480861.2925</v>
      </c>
      <c r="F223" s="30">
        <f t="shared" si="9"/>
        <v>2417249.4644871796</v>
      </c>
      <c r="G223" s="30">
        <f t="shared" si="10"/>
        <v>2353637.6364743593</v>
      </c>
      <c r="H223" s="30">
        <f t="shared" si="11"/>
        <v>2290025.808461539</v>
      </c>
    </row>
    <row r="224" spans="2:8">
      <c r="B224" s="152">
        <f t="shared" si="6"/>
        <v>0</v>
      </c>
      <c r="D224" s="30">
        <v>0</v>
      </c>
      <c r="E224" s="30">
        <f t="shared" si="8"/>
        <v>0</v>
      </c>
      <c r="F224" s="30">
        <f t="shared" si="9"/>
        <v>5249736.8251250004</v>
      </c>
      <c r="G224" s="30">
        <f t="shared" si="10"/>
        <v>5115128.188583334</v>
      </c>
      <c r="H224" s="30">
        <f t="shared" si="11"/>
        <v>4980519.5520416675</v>
      </c>
    </row>
    <row r="225" spans="2:8">
      <c r="B225" s="152">
        <f t="shared" si="6"/>
        <v>0</v>
      </c>
      <c r="D225" s="30">
        <v>0</v>
      </c>
      <c r="E225" s="30">
        <f t="shared" si="8"/>
        <v>0</v>
      </c>
      <c r="F225" s="30">
        <f t="shared" si="9"/>
        <v>0</v>
      </c>
      <c r="G225" s="30">
        <f t="shared" si="10"/>
        <v>1351960.3873749997</v>
      </c>
      <c r="H225" s="30">
        <f t="shared" si="11"/>
        <v>1317294.7364166663</v>
      </c>
    </row>
    <row r="226" spans="2:8">
      <c r="B226" s="152">
        <f t="shared" si="6"/>
        <v>0</v>
      </c>
      <c r="D226" s="30">
        <v>0</v>
      </c>
      <c r="E226" s="30">
        <f t="shared" si="8"/>
        <v>0</v>
      </c>
      <c r="F226" s="30">
        <f t="shared" si="9"/>
        <v>0</v>
      </c>
      <c r="G226" s="30">
        <f t="shared" si="10"/>
        <v>1033256.7869692472</v>
      </c>
      <c r="H226" s="30">
        <f t="shared" si="11"/>
        <v>1012169.9137657931</v>
      </c>
    </row>
    <row r="227" spans="2:8">
      <c r="B227" s="152">
        <f t="shared" si="6"/>
        <v>0</v>
      </c>
      <c r="D227" s="30">
        <v>0</v>
      </c>
      <c r="E227" s="30">
        <f t="shared" si="8"/>
        <v>0</v>
      </c>
      <c r="F227" s="30">
        <f t="shared" si="9"/>
        <v>0</v>
      </c>
      <c r="G227" s="30">
        <f t="shared" si="10"/>
        <v>0</v>
      </c>
      <c r="H227" s="30">
        <f t="shared" si="11"/>
        <v>3180444.503277828</v>
      </c>
    </row>
    <row r="228" spans="2:8">
      <c r="B228" s="152">
        <f t="shared" si="6"/>
        <v>0</v>
      </c>
      <c r="D228" s="30">
        <v>0</v>
      </c>
      <c r="E228" s="30">
        <f t="shared" si="8"/>
        <v>0</v>
      </c>
      <c r="F228" s="30">
        <f t="shared" si="9"/>
        <v>0</v>
      </c>
      <c r="G228" s="30">
        <f t="shared" si="10"/>
        <v>0</v>
      </c>
      <c r="H228" s="30">
        <f t="shared" si="11"/>
        <v>0</v>
      </c>
    </row>
    <row r="229" spans="2:8">
      <c r="B229" s="152">
        <f t="shared" si="6"/>
        <v>0</v>
      </c>
      <c r="D229" s="30">
        <v>0</v>
      </c>
      <c r="E229" s="30">
        <f t="shared" si="8"/>
        <v>0</v>
      </c>
      <c r="F229" s="30">
        <f t="shared" si="9"/>
        <v>279169.31666666665</v>
      </c>
      <c r="G229" s="30">
        <f t="shared" si="10"/>
        <v>269542.7885057471</v>
      </c>
      <c r="H229" s="30">
        <f t="shared" si="11"/>
        <v>259916.26034482755</v>
      </c>
    </row>
    <row r="230" spans="2:8">
      <c r="B230" s="152">
        <f t="shared" si="6"/>
        <v>0</v>
      </c>
      <c r="D230" s="30">
        <v>0</v>
      </c>
      <c r="E230" s="30">
        <f t="shared" si="8"/>
        <v>0</v>
      </c>
      <c r="F230" s="30">
        <f t="shared" si="9"/>
        <v>0</v>
      </c>
      <c r="G230" s="30">
        <f t="shared" si="10"/>
        <v>452198.61666666664</v>
      </c>
      <c r="H230" s="30">
        <f t="shared" si="11"/>
        <v>436605.56091954018</v>
      </c>
    </row>
    <row r="231" spans="2:8">
      <c r="B231" s="152">
        <f t="shared" si="6"/>
        <v>0</v>
      </c>
      <c r="D231" s="30">
        <v>0</v>
      </c>
      <c r="E231" s="30">
        <f t="shared" si="8"/>
        <v>0</v>
      </c>
      <c r="F231" s="30">
        <f t="shared" si="9"/>
        <v>0</v>
      </c>
      <c r="G231" s="30">
        <f t="shared" si="10"/>
        <v>0</v>
      </c>
      <c r="H231" s="30">
        <f t="shared" si="11"/>
        <v>3276393.9</v>
      </c>
    </row>
    <row r="232" spans="2:8">
      <c r="B232" s="152">
        <f t="shared" si="6"/>
        <v>0</v>
      </c>
      <c r="D232" s="30">
        <v>0</v>
      </c>
      <c r="E232" s="30">
        <f t="shared" si="8"/>
        <v>0</v>
      </c>
      <c r="F232" s="30">
        <f t="shared" si="9"/>
        <v>0</v>
      </c>
      <c r="G232" s="30">
        <f t="shared" si="10"/>
        <v>0</v>
      </c>
      <c r="H232" s="30">
        <f t="shared" si="11"/>
        <v>0</v>
      </c>
    </row>
    <row r="233" spans="2:8">
      <c r="B233" s="152">
        <f t="shared" si="6"/>
        <v>0</v>
      </c>
      <c r="D233" s="30">
        <v>0</v>
      </c>
      <c r="E233" s="30">
        <f t="shared" si="8"/>
        <v>0</v>
      </c>
      <c r="F233" s="30">
        <f t="shared" si="9"/>
        <v>0</v>
      </c>
      <c r="G233" s="30">
        <f t="shared" si="10"/>
        <v>3127329.2625000002</v>
      </c>
      <c r="H233" s="30">
        <f t="shared" si="11"/>
        <v>3087742.8161392407</v>
      </c>
    </row>
    <row r="234" spans="2:8">
      <c r="B234" s="152">
        <f t="shared" si="6"/>
        <v>0</v>
      </c>
      <c r="D234" s="30">
        <v>0</v>
      </c>
      <c r="E234" s="30">
        <f t="shared" si="8"/>
        <v>0</v>
      </c>
      <c r="F234" s="30">
        <f t="shared" si="9"/>
        <v>0</v>
      </c>
      <c r="G234" s="30">
        <f t="shared" si="10"/>
        <v>0</v>
      </c>
      <c r="H234" s="30">
        <f t="shared" si="11"/>
        <v>2733995.0625</v>
      </c>
    </row>
    <row r="235" spans="2:8">
      <c r="B235" s="152">
        <f t="shared" si="6"/>
        <v>0</v>
      </c>
      <c r="D235" s="30">
        <v>0</v>
      </c>
      <c r="E235" s="30">
        <f t="shared" si="8"/>
        <v>0</v>
      </c>
      <c r="F235" s="30">
        <f t="shared" si="9"/>
        <v>0</v>
      </c>
      <c r="G235" s="30">
        <f t="shared" si="10"/>
        <v>0</v>
      </c>
      <c r="H235" s="30">
        <f t="shared" si="11"/>
        <v>0</v>
      </c>
    </row>
    <row r="236" spans="2:8">
      <c r="B236" s="152">
        <f t="shared" si="6"/>
        <v>0</v>
      </c>
      <c r="D236" s="30">
        <v>0</v>
      </c>
      <c r="E236" s="30">
        <f t="shared" si="8"/>
        <v>0</v>
      </c>
      <c r="F236" s="30">
        <f t="shared" si="9"/>
        <v>197500</v>
      </c>
      <c r="G236" s="30">
        <f t="shared" si="10"/>
        <v>192435.89743589744</v>
      </c>
      <c r="H236" s="30">
        <f t="shared" si="11"/>
        <v>187371.79487179487</v>
      </c>
    </row>
    <row r="237" spans="2:8">
      <c r="B237" s="152">
        <f t="shared" si="6"/>
        <v>0</v>
      </c>
      <c r="D237" s="30">
        <v>0</v>
      </c>
      <c r="E237" s="30">
        <f t="shared" si="8"/>
        <v>0</v>
      </c>
      <c r="F237" s="30">
        <f t="shared" si="9"/>
        <v>0</v>
      </c>
      <c r="G237" s="30">
        <f t="shared" si="10"/>
        <v>602561.63749999995</v>
      </c>
      <c r="H237" s="30">
        <f t="shared" si="11"/>
        <v>587111.33910256403</v>
      </c>
    </row>
    <row r="238" spans="2:8">
      <c r="B238" s="152">
        <f t="shared" si="6"/>
        <v>0</v>
      </c>
      <c r="D238" s="30">
        <v>0</v>
      </c>
      <c r="E238" s="30">
        <f t="shared" si="8"/>
        <v>0</v>
      </c>
      <c r="F238" s="30">
        <f t="shared" si="9"/>
        <v>0</v>
      </c>
      <c r="G238" s="30">
        <f t="shared" si="10"/>
        <v>0</v>
      </c>
      <c r="H238" s="30">
        <f t="shared" si="11"/>
        <v>2355290.2000000002</v>
      </c>
    </row>
    <row r="239" spans="2:8">
      <c r="B239" s="152">
        <f t="shared" ref="B239:B270" si="12">B53</f>
        <v>0</v>
      </c>
      <c r="D239" s="30">
        <v>0</v>
      </c>
      <c r="E239" s="30">
        <f t="shared" si="8"/>
        <v>0</v>
      </c>
      <c r="F239" s="30">
        <f t="shared" si="9"/>
        <v>0</v>
      </c>
      <c r="G239" s="30">
        <f t="shared" si="10"/>
        <v>0</v>
      </c>
      <c r="H239" s="30">
        <f t="shared" si="11"/>
        <v>0</v>
      </c>
    </row>
    <row r="240" spans="2:8">
      <c r="B240" s="152">
        <f t="shared" si="12"/>
        <v>0</v>
      </c>
      <c r="D240" s="30">
        <v>0</v>
      </c>
      <c r="E240" s="30">
        <f t="shared" si="8"/>
        <v>5334582.4587000003</v>
      </c>
      <c r="F240" s="30">
        <f t="shared" si="9"/>
        <v>5225713.4289306123</v>
      </c>
      <c r="G240" s="30">
        <f t="shared" si="10"/>
        <v>5116844.3991612243</v>
      </c>
      <c r="H240" s="30">
        <f t="shared" si="11"/>
        <v>5007975.3693918362</v>
      </c>
    </row>
    <row r="241" spans="2:8">
      <c r="B241" s="152">
        <f t="shared" si="12"/>
        <v>0</v>
      </c>
      <c r="D241" s="30">
        <v>0</v>
      </c>
      <c r="E241" s="30">
        <f t="shared" si="8"/>
        <v>0</v>
      </c>
      <c r="F241" s="30">
        <f t="shared" si="9"/>
        <v>840163.59900000005</v>
      </c>
      <c r="G241" s="30">
        <f t="shared" si="10"/>
        <v>823017.40310204087</v>
      </c>
      <c r="H241" s="30">
        <f t="shared" si="11"/>
        <v>805871.2072040817</v>
      </c>
    </row>
    <row r="242" spans="2:8">
      <c r="B242" s="152">
        <f t="shared" si="12"/>
        <v>0</v>
      </c>
      <c r="D242" s="30">
        <v>0</v>
      </c>
      <c r="E242" s="30">
        <f t="shared" si="8"/>
        <v>5986888.7516250005</v>
      </c>
      <c r="F242" s="30">
        <f t="shared" si="9"/>
        <v>5911105.349705697</v>
      </c>
      <c r="G242" s="30">
        <f t="shared" si="10"/>
        <v>5835321.9477863936</v>
      </c>
      <c r="H242" s="30">
        <f t="shared" si="11"/>
        <v>5759538.5458670901</v>
      </c>
    </row>
    <row r="243" spans="2:8">
      <c r="B243" s="152">
        <f t="shared" si="12"/>
        <v>0</v>
      </c>
      <c r="D243" s="30">
        <v>0</v>
      </c>
      <c r="E243" s="30">
        <f t="shared" si="8"/>
        <v>0</v>
      </c>
      <c r="F243" s="30">
        <f t="shared" si="9"/>
        <v>174419.66099999996</v>
      </c>
      <c r="G243" s="30">
        <f t="shared" si="10"/>
        <v>172211.81718987337</v>
      </c>
      <c r="H243" s="30">
        <f t="shared" si="11"/>
        <v>170003.97337974678</v>
      </c>
    </row>
    <row r="244" spans="2:8">
      <c r="B244" s="152">
        <f t="shared" si="12"/>
        <v>0</v>
      </c>
      <c r="D244" s="30">
        <v>0</v>
      </c>
      <c r="E244" s="30">
        <f t="shared" si="8"/>
        <v>0</v>
      </c>
      <c r="F244" s="30">
        <f t="shared" si="9"/>
        <v>0</v>
      </c>
      <c r="G244" s="30">
        <f t="shared" si="10"/>
        <v>0</v>
      </c>
      <c r="H244" s="30">
        <f t="shared" si="11"/>
        <v>1101386.6499999999</v>
      </c>
    </row>
    <row r="245" spans="2:8">
      <c r="B245" s="152">
        <f t="shared" si="12"/>
        <v>0</v>
      </c>
      <c r="D245" s="30">
        <v>0</v>
      </c>
      <c r="E245" s="30">
        <f t="shared" si="8"/>
        <v>0</v>
      </c>
      <c r="F245" s="30">
        <f t="shared" si="9"/>
        <v>0</v>
      </c>
      <c r="G245" s="30">
        <f t="shared" si="10"/>
        <v>0</v>
      </c>
      <c r="H245" s="30">
        <f t="shared" si="11"/>
        <v>0</v>
      </c>
    </row>
    <row r="246" spans="2:8">
      <c r="B246" s="152">
        <f t="shared" si="12"/>
        <v>0</v>
      </c>
      <c r="D246" s="30">
        <v>0</v>
      </c>
      <c r="E246" s="30">
        <f t="shared" si="8"/>
        <v>0</v>
      </c>
      <c r="F246" s="30">
        <f t="shared" si="9"/>
        <v>0</v>
      </c>
      <c r="G246" s="30">
        <f t="shared" si="10"/>
        <v>532081.94025796989</v>
      </c>
      <c r="H246" s="30">
        <f t="shared" si="11"/>
        <v>525346.72582432476</v>
      </c>
    </row>
    <row r="247" spans="2:8">
      <c r="B247" s="152">
        <f t="shared" si="12"/>
        <v>0</v>
      </c>
      <c r="D247" s="30">
        <v>0</v>
      </c>
      <c r="E247" s="30">
        <f t="shared" si="8"/>
        <v>0</v>
      </c>
      <c r="F247" s="30">
        <f t="shared" si="9"/>
        <v>0</v>
      </c>
      <c r="G247" s="30">
        <f t="shared" si="10"/>
        <v>0</v>
      </c>
      <c r="H247" s="30">
        <f t="shared" si="11"/>
        <v>2333408.5261707455</v>
      </c>
    </row>
    <row r="248" spans="2:8">
      <c r="B248" s="152">
        <f t="shared" si="12"/>
        <v>0</v>
      </c>
      <c r="D248" s="30">
        <v>0</v>
      </c>
      <c r="E248" s="30">
        <f t="shared" si="8"/>
        <v>0</v>
      </c>
      <c r="F248" s="30">
        <f t="shared" si="9"/>
        <v>0</v>
      </c>
      <c r="G248" s="30">
        <f t="shared" si="10"/>
        <v>0</v>
      </c>
      <c r="H248" s="30">
        <f t="shared" si="11"/>
        <v>0</v>
      </c>
    </row>
    <row r="249" spans="2:8">
      <c r="B249" s="152">
        <f t="shared" si="12"/>
        <v>0</v>
      </c>
      <c r="D249" s="30">
        <v>0</v>
      </c>
      <c r="E249" s="30">
        <f t="shared" si="8"/>
        <v>555893.48362500011</v>
      </c>
      <c r="F249" s="30">
        <f t="shared" si="9"/>
        <v>541639.80455769238</v>
      </c>
      <c r="G249" s="30">
        <f t="shared" si="10"/>
        <v>527386.12549038464</v>
      </c>
      <c r="H249" s="30">
        <f t="shared" si="11"/>
        <v>513132.44642307697</v>
      </c>
    </row>
    <row r="250" spans="2:8">
      <c r="B250" s="152">
        <f t="shared" si="12"/>
        <v>0</v>
      </c>
      <c r="D250" s="30">
        <v>0</v>
      </c>
      <c r="E250" s="30">
        <f t="shared" si="8"/>
        <v>0</v>
      </c>
      <c r="F250" s="30">
        <f t="shared" si="9"/>
        <v>2533279.5107499999</v>
      </c>
      <c r="G250" s="30">
        <f t="shared" si="10"/>
        <v>2468323.6258589742</v>
      </c>
      <c r="H250" s="30">
        <f t="shared" si="11"/>
        <v>2403367.7409679485</v>
      </c>
    </row>
    <row r="251" spans="2:8">
      <c r="B251" s="152">
        <f t="shared" si="12"/>
        <v>0</v>
      </c>
      <c r="D251" s="30">
        <v>0</v>
      </c>
      <c r="E251" s="30">
        <f t="shared" si="8"/>
        <v>0</v>
      </c>
      <c r="F251" s="30">
        <f t="shared" si="9"/>
        <v>0</v>
      </c>
      <c r="G251" s="30">
        <f t="shared" si="10"/>
        <v>1985368.75</v>
      </c>
      <c r="H251" s="30">
        <f t="shared" si="11"/>
        <v>1934461.858974359</v>
      </c>
    </row>
    <row r="252" spans="2:8">
      <c r="B252" s="152">
        <f t="shared" si="12"/>
        <v>0</v>
      </c>
      <c r="D252" s="30">
        <v>0</v>
      </c>
      <c r="E252" s="30">
        <f t="shared" si="8"/>
        <v>0</v>
      </c>
      <c r="F252" s="30">
        <f t="shared" si="9"/>
        <v>197500</v>
      </c>
      <c r="G252" s="30">
        <f t="shared" si="10"/>
        <v>192435.89743589744</v>
      </c>
      <c r="H252" s="30">
        <f t="shared" si="11"/>
        <v>187371.79487179487</v>
      </c>
    </row>
    <row r="253" spans="2:8">
      <c r="B253" s="152">
        <f t="shared" si="12"/>
        <v>0</v>
      </c>
      <c r="D253" s="30">
        <v>0</v>
      </c>
      <c r="E253" s="30">
        <f t="shared" si="8"/>
        <v>0</v>
      </c>
      <c r="F253" s="30">
        <f t="shared" si="9"/>
        <v>0</v>
      </c>
      <c r="G253" s="30">
        <f t="shared" si="10"/>
        <v>2321198.7374999998</v>
      </c>
      <c r="H253" s="30">
        <f t="shared" si="11"/>
        <v>2261680.8211538461</v>
      </c>
    </row>
    <row r="254" spans="2:8">
      <c r="B254" s="152">
        <f t="shared" si="12"/>
        <v>0</v>
      </c>
      <c r="D254" s="30">
        <v>0</v>
      </c>
      <c r="E254" s="30">
        <f t="shared" si="8"/>
        <v>0</v>
      </c>
      <c r="F254" s="30">
        <f t="shared" si="9"/>
        <v>0</v>
      </c>
      <c r="G254" s="30">
        <f t="shared" si="10"/>
        <v>0</v>
      </c>
      <c r="H254" s="30">
        <f t="shared" si="11"/>
        <v>2152961.3250000002</v>
      </c>
    </row>
    <row r="255" spans="2:8">
      <c r="B255" s="152">
        <f t="shared" si="12"/>
        <v>0</v>
      </c>
      <c r="D255" s="30">
        <v>0</v>
      </c>
      <c r="E255" s="30">
        <f t="shared" si="8"/>
        <v>0</v>
      </c>
      <c r="F255" s="30">
        <f t="shared" si="9"/>
        <v>197500</v>
      </c>
      <c r="G255" s="30">
        <f t="shared" si="10"/>
        <v>192435.89743589744</v>
      </c>
      <c r="H255" s="30">
        <f t="shared" si="11"/>
        <v>187371.79487179487</v>
      </c>
    </row>
    <row r="256" spans="2:8">
      <c r="B256" s="152">
        <f t="shared" si="12"/>
        <v>0</v>
      </c>
      <c r="D256" s="30">
        <v>0</v>
      </c>
      <c r="E256" s="30">
        <f t="shared" si="8"/>
        <v>0</v>
      </c>
      <c r="F256" s="30">
        <f t="shared" si="9"/>
        <v>0</v>
      </c>
      <c r="G256" s="30">
        <f t="shared" si="10"/>
        <v>2442587.1749999998</v>
      </c>
      <c r="H256" s="30">
        <f t="shared" si="11"/>
        <v>2379956.7346153846</v>
      </c>
    </row>
    <row r="257" spans="2:8">
      <c r="B257" s="152">
        <f t="shared" si="12"/>
        <v>0</v>
      </c>
      <c r="D257" s="30">
        <v>0</v>
      </c>
      <c r="E257" s="30">
        <f t="shared" si="8"/>
        <v>0</v>
      </c>
      <c r="F257" s="30">
        <f t="shared" si="9"/>
        <v>0</v>
      </c>
      <c r="G257" s="30">
        <f t="shared" si="10"/>
        <v>0</v>
      </c>
      <c r="H257" s="30">
        <f t="shared" si="11"/>
        <v>1370949.2124999999</v>
      </c>
    </row>
    <row r="258" spans="2:8">
      <c r="B258" s="152">
        <f t="shared" si="12"/>
        <v>0</v>
      </c>
      <c r="D258" s="30">
        <v>0</v>
      </c>
      <c r="E258" s="30">
        <f t="shared" si="8"/>
        <v>0</v>
      </c>
      <c r="F258" s="30">
        <f t="shared" si="9"/>
        <v>0</v>
      </c>
      <c r="G258" s="30">
        <f t="shared" si="10"/>
        <v>183347.15</v>
      </c>
      <c r="H258" s="30">
        <f t="shared" si="11"/>
        <v>178645.94102564102</v>
      </c>
    </row>
    <row r="259" spans="2:8">
      <c r="B259" s="152">
        <f t="shared" si="12"/>
        <v>0</v>
      </c>
      <c r="D259" s="30">
        <v>0</v>
      </c>
      <c r="E259" s="30">
        <f t="shared" si="8"/>
        <v>0</v>
      </c>
      <c r="F259" s="30">
        <f t="shared" si="9"/>
        <v>0</v>
      </c>
      <c r="G259" s="30">
        <f t="shared" si="10"/>
        <v>0</v>
      </c>
      <c r="H259" s="30">
        <f t="shared" si="11"/>
        <v>2083842.25</v>
      </c>
    </row>
    <row r="260" spans="2:8">
      <c r="B260" s="152">
        <f t="shared" si="12"/>
        <v>0</v>
      </c>
      <c r="D260" s="30">
        <v>0</v>
      </c>
      <c r="E260" s="30">
        <f t="shared" si="8"/>
        <v>0</v>
      </c>
      <c r="F260" s="30">
        <f t="shared" si="9"/>
        <v>0</v>
      </c>
      <c r="G260" s="30">
        <f t="shared" si="10"/>
        <v>0</v>
      </c>
      <c r="H260" s="30">
        <f t="shared" si="11"/>
        <v>0</v>
      </c>
    </row>
    <row r="261" spans="2:8">
      <c r="B261" s="152">
        <f t="shared" si="12"/>
        <v>0</v>
      </c>
      <c r="D261" s="30">
        <v>0</v>
      </c>
      <c r="E261" s="30">
        <f t="shared" si="8"/>
        <v>998746.81350000005</v>
      </c>
      <c r="F261" s="30">
        <f t="shared" si="9"/>
        <v>986104.44877215195</v>
      </c>
      <c r="G261" s="30">
        <f t="shared" si="10"/>
        <v>973462.08404430386</v>
      </c>
      <c r="H261" s="30">
        <f t="shared" si="11"/>
        <v>960819.71931645577</v>
      </c>
    </row>
    <row r="262" spans="2:8">
      <c r="B262" s="152">
        <f t="shared" si="12"/>
        <v>0</v>
      </c>
      <c r="D262" s="30">
        <v>0</v>
      </c>
      <c r="E262" s="30">
        <f t="shared" si="8"/>
        <v>0</v>
      </c>
      <c r="F262" s="30">
        <f t="shared" si="9"/>
        <v>2007931.9670625001</v>
      </c>
      <c r="G262" s="30">
        <f t="shared" si="10"/>
        <v>1982515.1067199367</v>
      </c>
      <c r="H262" s="30">
        <f t="shared" si="11"/>
        <v>1957098.2463773733</v>
      </c>
    </row>
    <row r="263" spans="2:8">
      <c r="B263" s="152">
        <f t="shared" si="12"/>
        <v>0</v>
      </c>
      <c r="D263" s="30">
        <v>0</v>
      </c>
      <c r="E263" s="30">
        <f t="shared" si="8"/>
        <v>0</v>
      </c>
      <c r="F263" s="30">
        <f t="shared" si="9"/>
        <v>0</v>
      </c>
      <c r="G263" s="30">
        <f t="shared" si="10"/>
        <v>328715.60625000001</v>
      </c>
      <c r="H263" s="30">
        <f t="shared" si="11"/>
        <v>324554.64920886076</v>
      </c>
    </row>
    <row r="264" spans="2:8">
      <c r="B264" s="152">
        <f t="shared" si="12"/>
        <v>0</v>
      </c>
      <c r="D264" s="30">
        <v>0</v>
      </c>
      <c r="E264" s="30">
        <f t="shared" si="8"/>
        <v>2951365.8991666669</v>
      </c>
      <c r="F264" s="30">
        <f t="shared" si="9"/>
        <v>2849594.6612643679</v>
      </c>
      <c r="G264" s="30">
        <f t="shared" si="10"/>
        <v>2747823.4233620688</v>
      </c>
      <c r="H264" s="30">
        <f t="shared" si="11"/>
        <v>2646052.1854597698</v>
      </c>
    </row>
    <row r="265" spans="2:8">
      <c r="B265" s="152">
        <f t="shared" si="12"/>
        <v>0</v>
      </c>
      <c r="D265" s="30">
        <v>0</v>
      </c>
      <c r="E265" s="30">
        <f t="shared" si="8"/>
        <v>0</v>
      </c>
      <c r="F265" s="30">
        <f t="shared" si="9"/>
        <v>79129.767500000016</v>
      </c>
      <c r="G265" s="30">
        <f t="shared" si="10"/>
        <v>76401.15482758623</v>
      </c>
      <c r="H265" s="30">
        <f t="shared" si="11"/>
        <v>73672.542155172443</v>
      </c>
    </row>
    <row r="266" spans="2:8">
      <c r="B266" s="152">
        <f t="shared" si="12"/>
        <v>0</v>
      </c>
      <c r="D266" s="30">
        <v>0</v>
      </c>
      <c r="E266" s="30">
        <f t="shared" si="8"/>
        <v>317615.47289999994</v>
      </c>
      <c r="F266" s="30">
        <f t="shared" si="9"/>
        <v>311133.5244734693</v>
      </c>
      <c r="G266" s="30">
        <f t="shared" si="10"/>
        <v>304651.57604693866</v>
      </c>
      <c r="H266" s="30">
        <f t="shared" si="11"/>
        <v>298169.62762040802</v>
      </c>
    </row>
    <row r="267" spans="2:8">
      <c r="B267" s="152">
        <f t="shared" si="12"/>
        <v>0</v>
      </c>
      <c r="D267" s="30">
        <v>0</v>
      </c>
      <c r="E267" s="30">
        <f t="shared" si="8"/>
        <v>0</v>
      </c>
      <c r="F267" s="30">
        <f t="shared" si="9"/>
        <v>1774691.8001999999</v>
      </c>
      <c r="G267" s="30">
        <f t="shared" si="10"/>
        <v>1738473.6001959182</v>
      </c>
      <c r="H267" s="30">
        <f t="shared" si="11"/>
        <v>1702255.4001918365</v>
      </c>
    </row>
    <row r="268" spans="2:8">
      <c r="B268" s="152">
        <f t="shared" si="12"/>
        <v>0</v>
      </c>
      <c r="D268" s="30">
        <v>0</v>
      </c>
      <c r="E268" s="30">
        <f t="shared" si="8"/>
        <v>0</v>
      </c>
      <c r="F268" s="30">
        <f t="shared" si="9"/>
        <v>0</v>
      </c>
      <c r="G268" s="30">
        <f t="shared" si="10"/>
        <v>49500</v>
      </c>
      <c r="H268" s="30">
        <f t="shared" si="11"/>
        <v>48489.795918367345</v>
      </c>
    </row>
    <row r="269" spans="2:8">
      <c r="B269" s="152">
        <f t="shared" si="12"/>
        <v>0</v>
      </c>
      <c r="D269" s="30">
        <v>0</v>
      </c>
      <c r="E269" s="30">
        <f t="shared" si="8"/>
        <v>0</v>
      </c>
      <c r="F269" s="30">
        <f t="shared" si="9"/>
        <v>0</v>
      </c>
      <c r="G269" s="30">
        <f t="shared" si="10"/>
        <v>0</v>
      </c>
      <c r="H269" s="30">
        <f t="shared" si="11"/>
        <v>274190.23749999999</v>
      </c>
    </row>
    <row r="270" spans="2:8">
      <c r="B270" s="152">
        <f t="shared" si="12"/>
        <v>0</v>
      </c>
      <c r="D270" s="30">
        <v>0</v>
      </c>
      <c r="E270" s="30">
        <f t="shared" si="8"/>
        <v>0</v>
      </c>
      <c r="F270" s="30">
        <f t="shared" si="9"/>
        <v>0</v>
      </c>
      <c r="G270" s="30">
        <f t="shared" si="10"/>
        <v>0</v>
      </c>
      <c r="H270" s="30">
        <f t="shared" si="11"/>
        <v>0</v>
      </c>
    </row>
    <row r="271" spans="2:8">
      <c r="B271" s="152">
        <f t="shared" ref="B271:B302" si="13">B85</f>
        <v>0</v>
      </c>
      <c r="D271" s="30">
        <v>0</v>
      </c>
      <c r="E271" s="30">
        <f t="shared" si="8"/>
        <v>125982.54316666666</v>
      </c>
      <c r="F271" s="30">
        <f t="shared" si="9"/>
        <v>123847.24582485875</v>
      </c>
      <c r="G271" s="30">
        <f t="shared" si="10"/>
        <v>121711.94848305084</v>
      </c>
      <c r="H271" s="30">
        <f t="shared" si="11"/>
        <v>119576.65114124294</v>
      </c>
    </row>
    <row r="272" spans="2:8">
      <c r="B272" s="152">
        <f t="shared" si="13"/>
        <v>0</v>
      </c>
      <c r="D272" s="30">
        <v>0</v>
      </c>
      <c r="E272" s="30">
        <f t="shared" ref="E272:E335" si="14">D1202</f>
        <v>0</v>
      </c>
      <c r="F272" s="30">
        <f t="shared" ref="F272:F335" si="15">E1202</f>
        <v>486562.85649999999</v>
      </c>
      <c r="G272" s="30">
        <f t="shared" ref="G272:G335" si="16">F1202</f>
        <v>478316.02842372883</v>
      </c>
      <c r="H272" s="30">
        <f t="shared" ref="H272:H335" si="17">G1202</f>
        <v>470069.20034745766</v>
      </c>
    </row>
    <row r="273" spans="2:8">
      <c r="B273" s="152">
        <f t="shared" si="13"/>
        <v>0</v>
      </c>
      <c r="D273" s="30">
        <v>0</v>
      </c>
      <c r="E273" s="30">
        <f t="shared" si="14"/>
        <v>0</v>
      </c>
      <c r="F273" s="30">
        <f t="shared" si="15"/>
        <v>0</v>
      </c>
      <c r="G273" s="30">
        <f t="shared" si="16"/>
        <v>428500.15833333333</v>
      </c>
      <c r="H273" s="30">
        <f t="shared" si="17"/>
        <v>421237.44378531072</v>
      </c>
    </row>
    <row r="274" spans="2:8">
      <c r="B274" s="152">
        <f t="shared" si="13"/>
        <v>0</v>
      </c>
      <c r="D274" s="30">
        <v>0</v>
      </c>
      <c r="E274" s="30">
        <f t="shared" si="14"/>
        <v>0</v>
      </c>
      <c r="F274" s="30">
        <f t="shared" si="15"/>
        <v>0</v>
      </c>
      <c r="G274" s="30">
        <f t="shared" si="16"/>
        <v>0</v>
      </c>
      <c r="H274" s="30">
        <f t="shared" si="17"/>
        <v>440554.85833333334</v>
      </c>
    </row>
    <row r="275" spans="2:8">
      <c r="B275" s="152">
        <f t="shared" si="13"/>
        <v>0</v>
      </c>
      <c r="D275" s="30">
        <v>0</v>
      </c>
      <c r="E275" s="30">
        <f t="shared" si="14"/>
        <v>0</v>
      </c>
      <c r="F275" s="30">
        <f t="shared" si="15"/>
        <v>0</v>
      </c>
      <c r="G275" s="30">
        <f t="shared" si="16"/>
        <v>0</v>
      </c>
      <c r="H275" s="30">
        <f t="shared" si="17"/>
        <v>0</v>
      </c>
    </row>
    <row r="276" spans="2:8">
      <c r="B276" s="152">
        <f t="shared" si="13"/>
        <v>0</v>
      </c>
      <c r="D276" s="30">
        <v>0</v>
      </c>
      <c r="E276" s="30">
        <f t="shared" si="14"/>
        <v>325392.12862499995</v>
      </c>
      <c r="F276" s="30">
        <f t="shared" si="15"/>
        <v>321273.24092088605</v>
      </c>
      <c r="G276" s="30">
        <f t="shared" si="16"/>
        <v>317154.35321677214</v>
      </c>
      <c r="H276" s="30">
        <f t="shared" si="17"/>
        <v>313035.46551265824</v>
      </c>
    </row>
    <row r="277" spans="2:8">
      <c r="B277" s="152">
        <f t="shared" si="13"/>
        <v>0</v>
      </c>
      <c r="D277" s="30">
        <v>0</v>
      </c>
      <c r="E277" s="30">
        <f t="shared" si="14"/>
        <v>0</v>
      </c>
      <c r="F277" s="30">
        <f t="shared" si="15"/>
        <v>1583680.2866249999</v>
      </c>
      <c r="G277" s="30">
        <f t="shared" si="16"/>
        <v>1563633.7007183544</v>
      </c>
      <c r="H277" s="30">
        <f t="shared" si="17"/>
        <v>1543587.1148117089</v>
      </c>
    </row>
    <row r="278" spans="2:8">
      <c r="B278" s="152">
        <f t="shared" si="13"/>
        <v>0</v>
      </c>
      <c r="D278" s="30">
        <v>0</v>
      </c>
      <c r="E278" s="30">
        <f t="shared" si="14"/>
        <v>0</v>
      </c>
      <c r="F278" s="30">
        <f t="shared" si="15"/>
        <v>0</v>
      </c>
      <c r="G278" s="30">
        <f t="shared" si="16"/>
        <v>107124.79166666667</v>
      </c>
      <c r="H278" s="30">
        <f t="shared" si="17"/>
        <v>105309.11723163842</v>
      </c>
    </row>
    <row r="279" spans="2:8">
      <c r="B279" s="152">
        <f t="shared" si="13"/>
        <v>0</v>
      </c>
      <c r="D279" s="30">
        <v>0</v>
      </c>
      <c r="E279" s="30">
        <f t="shared" si="14"/>
        <v>0</v>
      </c>
      <c r="F279" s="30">
        <f t="shared" si="15"/>
        <v>0</v>
      </c>
      <c r="G279" s="30">
        <f t="shared" si="16"/>
        <v>0</v>
      </c>
      <c r="H279" s="30">
        <f t="shared" si="17"/>
        <v>1137770.8999999999</v>
      </c>
    </row>
    <row r="280" spans="2:8">
      <c r="B280" s="152">
        <f t="shared" si="13"/>
        <v>0</v>
      </c>
      <c r="D280" s="30">
        <v>0</v>
      </c>
      <c r="E280" s="30">
        <f t="shared" si="14"/>
        <v>0</v>
      </c>
      <c r="F280" s="30">
        <f t="shared" si="15"/>
        <v>0</v>
      </c>
      <c r="G280" s="30">
        <f t="shared" si="16"/>
        <v>0</v>
      </c>
      <c r="H280" s="30">
        <f t="shared" si="17"/>
        <v>109675.7</v>
      </c>
    </row>
    <row r="281" spans="2:8">
      <c r="B281" s="152">
        <f t="shared" si="13"/>
        <v>0</v>
      </c>
      <c r="D281" s="30">
        <v>0</v>
      </c>
      <c r="E281" s="30">
        <f t="shared" si="14"/>
        <v>0</v>
      </c>
      <c r="F281" s="30">
        <f t="shared" si="15"/>
        <v>0</v>
      </c>
      <c r="G281" s="30">
        <f t="shared" si="16"/>
        <v>0</v>
      </c>
      <c r="H281" s="30">
        <f t="shared" si="17"/>
        <v>0</v>
      </c>
    </row>
    <row r="282" spans="2:8">
      <c r="B282" s="152">
        <f t="shared" si="13"/>
        <v>0</v>
      </c>
      <c r="D282" s="30">
        <v>0</v>
      </c>
      <c r="E282" s="30">
        <f t="shared" si="14"/>
        <v>384289.79225000006</v>
      </c>
      <c r="F282" s="30">
        <f t="shared" si="15"/>
        <v>374436.20783333341</v>
      </c>
      <c r="G282" s="30">
        <f t="shared" si="16"/>
        <v>364582.62341666676</v>
      </c>
      <c r="H282" s="30">
        <f t="shared" si="17"/>
        <v>354729.03900000011</v>
      </c>
    </row>
    <row r="283" spans="2:8">
      <c r="B283" s="152">
        <f t="shared" si="13"/>
        <v>0</v>
      </c>
      <c r="D283" s="30">
        <v>0</v>
      </c>
      <c r="E283" s="30">
        <f t="shared" si="14"/>
        <v>0</v>
      </c>
      <c r="F283" s="30">
        <f t="shared" si="15"/>
        <v>702673.16300000006</v>
      </c>
      <c r="G283" s="30">
        <f t="shared" si="16"/>
        <v>684655.90241025644</v>
      </c>
      <c r="H283" s="30">
        <f t="shared" si="17"/>
        <v>666638.64182051283</v>
      </c>
    </row>
    <row r="284" spans="2:8">
      <c r="B284" s="152">
        <f t="shared" si="13"/>
        <v>0</v>
      </c>
      <c r="D284" s="30">
        <v>0</v>
      </c>
      <c r="E284" s="30">
        <f t="shared" si="14"/>
        <v>0</v>
      </c>
      <c r="F284" s="30">
        <f t="shared" si="15"/>
        <v>0</v>
      </c>
      <c r="G284" s="30">
        <f t="shared" si="16"/>
        <v>0</v>
      </c>
      <c r="H284" s="30">
        <f t="shared" si="17"/>
        <v>411284.86249999999</v>
      </c>
    </row>
    <row r="285" spans="2:8">
      <c r="B285" s="152">
        <f t="shared" si="13"/>
        <v>0</v>
      </c>
      <c r="D285" s="30">
        <v>0</v>
      </c>
      <c r="E285" s="30">
        <f t="shared" si="14"/>
        <v>0</v>
      </c>
      <c r="F285" s="30">
        <f t="shared" si="15"/>
        <v>0</v>
      </c>
      <c r="G285" s="30">
        <f t="shared" si="16"/>
        <v>0</v>
      </c>
      <c r="H285" s="30">
        <f t="shared" si="17"/>
        <v>0</v>
      </c>
    </row>
    <row r="286" spans="2:8">
      <c r="B286" s="152">
        <f t="shared" si="13"/>
        <v>0</v>
      </c>
      <c r="D286" s="30">
        <v>0</v>
      </c>
      <c r="E286" s="30">
        <f t="shared" si="14"/>
        <v>0</v>
      </c>
      <c r="F286" s="30">
        <f t="shared" si="15"/>
        <v>0</v>
      </c>
      <c r="G286" s="30">
        <f t="shared" si="16"/>
        <v>0</v>
      </c>
      <c r="H286" s="30">
        <f t="shared" si="17"/>
        <v>137441.70000000001</v>
      </c>
    </row>
    <row r="287" spans="2:8">
      <c r="B287" s="152">
        <f t="shared" si="13"/>
        <v>0</v>
      </c>
      <c r="D287" s="30">
        <v>0</v>
      </c>
      <c r="E287" s="30">
        <f t="shared" si="14"/>
        <v>0</v>
      </c>
      <c r="F287" s="30">
        <f t="shared" si="15"/>
        <v>0</v>
      </c>
      <c r="G287" s="30">
        <f t="shared" si="16"/>
        <v>0</v>
      </c>
      <c r="H287" s="30">
        <f t="shared" si="17"/>
        <v>0</v>
      </c>
    </row>
    <row r="288" spans="2:8">
      <c r="B288" s="152">
        <f t="shared" si="13"/>
        <v>0</v>
      </c>
      <c r="D288" s="30">
        <v>0</v>
      </c>
      <c r="E288" s="30">
        <f t="shared" si="14"/>
        <v>0</v>
      </c>
      <c r="F288" s="30">
        <f t="shared" si="15"/>
        <v>0</v>
      </c>
      <c r="G288" s="30">
        <f t="shared" si="16"/>
        <v>0</v>
      </c>
      <c r="H288" s="30">
        <f t="shared" si="17"/>
        <v>193147.23749999999</v>
      </c>
    </row>
    <row r="289" spans="2:8">
      <c r="B289" s="152">
        <f t="shared" si="13"/>
        <v>0</v>
      </c>
      <c r="D289" s="30">
        <v>0</v>
      </c>
      <c r="E289" s="30">
        <f t="shared" si="14"/>
        <v>0</v>
      </c>
      <c r="F289" s="30">
        <f t="shared" si="15"/>
        <v>0</v>
      </c>
      <c r="G289" s="30">
        <f t="shared" si="16"/>
        <v>0</v>
      </c>
      <c r="H289" s="30">
        <f t="shared" si="17"/>
        <v>0</v>
      </c>
    </row>
    <row r="290" spans="2:8">
      <c r="B290" s="152">
        <f t="shared" si="13"/>
        <v>0</v>
      </c>
      <c r="D290" s="30">
        <v>0</v>
      </c>
      <c r="E290" s="30">
        <f t="shared" si="14"/>
        <v>0</v>
      </c>
      <c r="F290" s="30">
        <f t="shared" si="15"/>
        <v>0</v>
      </c>
      <c r="G290" s="30">
        <f t="shared" si="16"/>
        <v>266687.21250000002</v>
      </c>
      <c r="H290" s="30">
        <f t="shared" si="17"/>
        <v>259849.07884615386</v>
      </c>
    </row>
    <row r="291" spans="2:8">
      <c r="B291" s="152">
        <f t="shared" si="13"/>
        <v>0</v>
      </c>
      <c r="D291" s="30">
        <v>0</v>
      </c>
      <c r="E291" s="30">
        <f t="shared" si="14"/>
        <v>0</v>
      </c>
      <c r="F291" s="30">
        <f t="shared" si="15"/>
        <v>0</v>
      </c>
      <c r="G291" s="30">
        <f t="shared" si="16"/>
        <v>0</v>
      </c>
      <c r="H291" s="30">
        <f t="shared" si="17"/>
        <v>274190.23749999999</v>
      </c>
    </row>
    <row r="292" spans="2:8">
      <c r="B292" s="152">
        <f t="shared" si="13"/>
        <v>0</v>
      </c>
      <c r="D292" s="30">
        <v>0</v>
      </c>
      <c r="E292" s="30">
        <f t="shared" si="14"/>
        <v>0</v>
      </c>
      <c r="F292" s="30">
        <f t="shared" si="15"/>
        <v>0</v>
      </c>
      <c r="G292" s="30">
        <f t="shared" si="16"/>
        <v>0</v>
      </c>
      <c r="H292" s="30">
        <f t="shared" si="17"/>
        <v>0</v>
      </c>
    </row>
    <row r="293" spans="2:8">
      <c r="B293" s="152">
        <f t="shared" si="13"/>
        <v>0</v>
      </c>
      <c r="D293" s="30">
        <v>0</v>
      </c>
      <c r="E293" s="30">
        <f t="shared" si="14"/>
        <v>0</v>
      </c>
      <c r="F293" s="30">
        <f t="shared" si="15"/>
        <v>0</v>
      </c>
      <c r="G293" s="30">
        <f t="shared" si="16"/>
        <v>0</v>
      </c>
      <c r="H293" s="30">
        <f t="shared" si="17"/>
        <v>0</v>
      </c>
    </row>
    <row r="294" spans="2:8">
      <c r="B294" s="152">
        <f t="shared" si="13"/>
        <v>0</v>
      </c>
      <c r="D294" s="30">
        <v>0</v>
      </c>
      <c r="E294" s="30">
        <f t="shared" si="14"/>
        <v>0</v>
      </c>
      <c r="F294" s="30">
        <f t="shared" si="15"/>
        <v>0</v>
      </c>
      <c r="G294" s="30">
        <f t="shared" si="16"/>
        <v>0</v>
      </c>
      <c r="H294" s="30">
        <f t="shared" si="17"/>
        <v>0</v>
      </c>
    </row>
    <row r="295" spans="2:8">
      <c r="B295" s="152">
        <f t="shared" si="13"/>
        <v>0</v>
      </c>
      <c r="D295" s="30">
        <v>0</v>
      </c>
      <c r="E295" s="30">
        <f t="shared" si="14"/>
        <v>0</v>
      </c>
      <c r="F295" s="30">
        <f t="shared" si="15"/>
        <v>0</v>
      </c>
      <c r="G295" s="30">
        <f t="shared" si="16"/>
        <v>0</v>
      </c>
      <c r="H295" s="30">
        <f t="shared" si="17"/>
        <v>169195.36414744001</v>
      </c>
    </row>
    <row r="296" spans="2:8">
      <c r="B296" s="152">
        <f t="shared" si="13"/>
        <v>0</v>
      </c>
      <c r="D296" s="30">
        <v>0</v>
      </c>
      <c r="E296" s="30">
        <f t="shared" si="14"/>
        <v>0</v>
      </c>
      <c r="F296" s="30">
        <f t="shared" si="15"/>
        <v>0</v>
      </c>
      <c r="G296" s="30">
        <f t="shared" si="16"/>
        <v>0</v>
      </c>
      <c r="H296" s="30">
        <f t="shared" si="17"/>
        <v>0</v>
      </c>
    </row>
    <row r="297" spans="2:8">
      <c r="B297" s="152">
        <f t="shared" si="13"/>
        <v>0</v>
      </c>
      <c r="D297" s="30">
        <v>0</v>
      </c>
      <c r="E297" s="30">
        <f t="shared" si="14"/>
        <v>0</v>
      </c>
      <c r="F297" s="30">
        <f t="shared" si="15"/>
        <v>0</v>
      </c>
      <c r="G297" s="30">
        <f t="shared" si="16"/>
        <v>0</v>
      </c>
      <c r="H297" s="30">
        <f t="shared" si="17"/>
        <v>643334.03333333333</v>
      </c>
    </row>
    <row r="298" spans="2:8">
      <c r="B298" s="152">
        <f t="shared" si="13"/>
        <v>0</v>
      </c>
      <c r="D298" s="30">
        <v>0</v>
      </c>
      <c r="E298" s="30">
        <f t="shared" si="14"/>
        <v>637908.7621666668</v>
      </c>
      <c r="F298" s="30">
        <f t="shared" si="15"/>
        <v>627096.74924858764</v>
      </c>
      <c r="G298" s="30">
        <f t="shared" si="16"/>
        <v>616284.73633050849</v>
      </c>
      <c r="H298" s="30">
        <f t="shared" si="17"/>
        <v>605472.72341242945</v>
      </c>
    </row>
    <row r="299" spans="2:8">
      <c r="B299" s="152">
        <f t="shared" si="13"/>
        <v>0</v>
      </c>
      <c r="D299" s="30">
        <v>0</v>
      </c>
      <c r="E299" s="30">
        <f t="shared" si="14"/>
        <v>0</v>
      </c>
      <c r="F299" s="30">
        <f t="shared" si="15"/>
        <v>0</v>
      </c>
      <c r="G299" s="30">
        <f t="shared" si="16"/>
        <v>606714.07499999995</v>
      </c>
      <c r="H299" s="30">
        <f t="shared" si="17"/>
        <v>591157.30384615378</v>
      </c>
    </row>
    <row r="300" spans="2:8">
      <c r="B300" s="152">
        <f t="shared" si="13"/>
        <v>0</v>
      </c>
      <c r="D300" s="30">
        <v>0</v>
      </c>
      <c r="E300" s="30">
        <f t="shared" si="14"/>
        <v>0</v>
      </c>
      <c r="F300" s="30">
        <f t="shared" si="15"/>
        <v>0</v>
      </c>
      <c r="G300" s="30">
        <f t="shared" si="16"/>
        <v>0</v>
      </c>
      <c r="H300" s="30">
        <f t="shared" si="17"/>
        <v>109675.7</v>
      </c>
    </row>
    <row r="301" spans="2:8">
      <c r="B301" s="152">
        <f t="shared" si="13"/>
        <v>0</v>
      </c>
      <c r="D301" s="30">
        <v>0</v>
      </c>
      <c r="E301" s="30">
        <f t="shared" si="14"/>
        <v>0</v>
      </c>
      <c r="F301" s="30">
        <f t="shared" si="15"/>
        <v>0</v>
      </c>
      <c r="G301" s="30">
        <f t="shared" si="16"/>
        <v>0</v>
      </c>
      <c r="H301" s="30">
        <f t="shared" si="17"/>
        <v>0</v>
      </c>
    </row>
    <row r="302" spans="2:8">
      <c r="B302" s="152">
        <f t="shared" si="13"/>
        <v>0</v>
      </c>
      <c r="D302" s="30">
        <v>0</v>
      </c>
      <c r="E302" s="30">
        <f t="shared" si="14"/>
        <v>34935.143000000011</v>
      </c>
      <c r="F302" s="30">
        <f t="shared" si="15"/>
        <v>34039.370102564113</v>
      </c>
      <c r="G302" s="30">
        <f t="shared" si="16"/>
        <v>33143.597205128215</v>
      </c>
      <c r="H302" s="30">
        <f t="shared" si="17"/>
        <v>32247.824307692317</v>
      </c>
    </row>
    <row r="303" spans="2:8">
      <c r="B303" s="152">
        <f t="shared" ref="B303:B323" si="18">B117</f>
        <v>0</v>
      </c>
      <c r="D303" s="30">
        <v>0</v>
      </c>
      <c r="E303" s="30">
        <f t="shared" si="14"/>
        <v>0</v>
      </c>
      <c r="F303" s="30">
        <f t="shared" si="15"/>
        <v>475360.28125</v>
      </c>
      <c r="G303" s="30">
        <f t="shared" si="16"/>
        <v>463171.55608974356</v>
      </c>
      <c r="H303" s="30">
        <f t="shared" si="17"/>
        <v>450982.83092948713</v>
      </c>
    </row>
    <row r="304" spans="2:8">
      <c r="B304" s="152">
        <f t="shared" si="18"/>
        <v>0</v>
      </c>
      <c r="D304" s="30">
        <v>0</v>
      </c>
      <c r="E304" s="30">
        <f t="shared" si="14"/>
        <v>0</v>
      </c>
      <c r="F304" s="30">
        <f t="shared" si="15"/>
        <v>0</v>
      </c>
      <c r="G304" s="30">
        <f t="shared" si="16"/>
        <v>0</v>
      </c>
      <c r="H304" s="30">
        <f t="shared" si="17"/>
        <v>0</v>
      </c>
    </row>
    <row r="305" spans="2:8">
      <c r="B305" s="152">
        <f t="shared" si="18"/>
        <v>0</v>
      </c>
      <c r="D305" s="30">
        <v>0</v>
      </c>
      <c r="E305" s="30">
        <f t="shared" si="14"/>
        <v>20010.729625000004</v>
      </c>
      <c r="F305" s="30">
        <f t="shared" si="15"/>
        <v>19497.633993589749</v>
      </c>
      <c r="G305" s="30">
        <f t="shared" si="16"/>
        <v>18984.538362179494</v>
      </c>
      <c r="H305" s="30">
        <f t="shared" si="17"/>
        <v>18471.442730769239</v>
      </c>
    </row>
    <row r="306" spans="2:8">
      <c r="B306" s="152">
        <f t="shared" si="18"/>
        <v>0</v>
      </c>
      <c r="D306" s="30">
        <v>0</v>
      </c>
      <c r="E306" s="30">
        <f t="shared" si="14"/>
        <v>0</v>
      </c>
      <c r="F306" s="30">
        <f t="shared" si="15"/>
        <v>367547.23337499995</v>
      </c>
      <c r="G306" s="30">
        <f t="shared" si="16"/>
        <v>358122.94533974351</v>
      </c>
      <c r="H306" s="30">
        <f t="shared" si="17"/>
        <v>348698.65730448713</v>
      </c>
    </row>
    <row r="307" spans="2:8">
      <c r="B307" s="152">
        <f t="shared" si="18"/>
        <v>0</v>
      </c>
      <c r="D307" s="30">
        <v>0</v>
      </c>
      <c r="E307" s="30">
        <f t="shared" si="14"/>
        <v>0</v>
      </c>
      <c r="F307" s="30">
        <f t="shared" si="15"/>
        <v>0</v>
      </c>
      <c r="G307" s="30">
        <f t="shared" si="16"/>
        <v>46167.6</v>
      </c>
      <c r="H307" s="30">
        <f t="shared" si="17"/>
        <v>44983.81538461538</v>
      </c>
    </row>
    <row r="308" spans="2:8">
      <c r="B308" s="152">
        <f t="shared" si="18"/>
        <v>0</v>
      </c>
      <c r="D308" s="30">
        <v>0</v>
      </c>
      <c r="E308" s="30">
        <f t="shared" si="14"/>
        <v>319717.37462499994</v>
      </c>
      <c r="F308" s="30">
        <f t="shared" si="15"/>
        <v>311519.49322435888</v>
      </c>
      <c r="G308" s="30">
        <f t="shared" si="16"/>
        <v>303321.61182371789</v>
      </c>
      <c r="H308" s="30">
        <f t="shared" si="17"/>
        <v>295123.73042307689</v>
      </c>
    </row>
    <row r="309" spans="2:8">
      <c r="B309" s="152">
        <f t="shared" si="18"/>
        <v>0</v>
      </c>
      <c r="D309" s="30">
        <v>0</v>
      </c>
      <c r="E309" s="30">
        <f t="shared" si="14"/>
        <v>0</v>
      </c>
      <c r="F309" s="30">
        <f t="shared" si="15"/>
        <v>0</v>
      </c>
      <c r="G309" s="30">
        <f t="shared" si="16"/>
        <v>0</v>
      </c>
      <c r="H309" s="30">
        <f t="shared" si="17"/>
        <v>0</v>
      </c>
    </row>
    <row r="310" spans="2:8">
      <c r="B310" s="152">
        <f t="shared" si="18"/>
        <v>0</v>
      </c>
      <c r="D310" s="30">
        <v>0</v>
      </c>
      <c r="E310" s="30">
        <f t="shared" si="14"/>
        <v>0</v>
      </c>
      <c r="F310" s="30">
        <f t="shared" si="15"/>
        <v>0</v>
      </c>
      <c r="G310" s="30">
        <f t="shared" si="16"/>
        <v>0</v>
      </c>
      <c r="H310" s="30">
        <f t="shared" si="17"/>
        <v>0</v>
      </c>
    </row>
    <row r="311" spans="2:8">
      <c r="B311" s="152">
        <f t="shared" si="18"/>
        <v>0</v>
      </c>
      <c r="D311" s="30">
        <v>0</v>
      </c>
      <c r="E311" s="30">
        <f t="shared" si="14"/>
        <v>6555.766450000001</v>
      </c>
      <c r="F311" s="30">
        <f t="shared" si="15"/>
        <v>6489.5465868686879</v>
      </c>
      <c r="G311" s="30">
        <f t="shared" si="16"/>
        <v>6423.3267237373748</v>
      </c>
      <c r="H311" s="30">
        <f t="shared" si="17"/>
        <v>6357.1068606060617</v>
      </c>
    </row>
    <row r="312" spans="2:8">
      <c r="B312" s="152">
        <f t="shared" si="18"/>
        <v>0</v>
      </c>
      <c r="D312" s="30">
        <v>0</v>
      </c>
      <c r="E312" s="30">
        <f t="shared" si="14"/>
        <v>0</v>
      </c>
      <c r="F312" s="30">
        <f t="shared" si="15"/>
        <v>149600.24</v>
      </c>
      <c r="G312" s="30">
        <f t="shared" si="16"/>
        <v>148089.12646464646</v>
      </c>
      <c r="H312" s="30">
        <f t="shared" si="17"/>
        <v>146578.01292929292</v>
      </c>
    </row>
    <row r="313" spans="2:8">
      <c r="B313" s="152">
        <f t="shared" si="18"/>
        <v>0</v>
      </c>
      <c r="D313" s="30">
        <v>0</v>
      </c>
      <c r="E313" s="30">
        <f t="shared" si="14"/>
        <v>0</v>
      </c>
      <c r="F313" s="30">
        <f t="shared" si="15"/>
        <v>0</v>
      </c>
      <c r="G313" s="30">
        <f t="shared" si="16"/>
        <v>0</v>
      </c>
      <c r="H313" s="30">
        <f t="shared" si="17"/>
        <v>0</v>
      </c>
    </row>
    <row r="314" spans="2:8">
      <c r="B314" s="152">
        <f t="shared" si="18"/>
        <v>0</v>
      </c>
      <c r="D314" s="30">
        <v>0</v>
      </c>
      <c r="E314" s="30">
        <f t="shared" si="14"/>
        <v>135279.24950000003</v>
      </c>
      <c r="F314" s="30">
        <f t="shared" si="15"/>
        <v>120248.22177777781</v>
      </c>
      <c r="G314" s="30">
        <f t="shared" si="16"/>
        <v>105217.19405555559</v>
      </c>
      <c r="H314" s="30">
        <f t="shared" si="17"/>
        <v>90186.166333333371</v>
      </c>
    </row>
    <row r="315" spans="2:8">
      <c r="B315" s="152">
        <f t="shared" si="18"/>
        <v>0</v>
      </c>
      <c r="D315" s="30">
        <v>0</v>
      </c>
      <c r="E315" s="30">
        <f t="shared" si="14"/>
        <v>22327.875</v>
      </c>
      <c r="F315" s="30">
        <f t="shared" si="15"/>
        <v>16745.90625</v>
      </c>
      <c r="G315" s="30">
        <f t="shared" si="16"/>
        <v>11163.9375</v>
      </c>
      <c r="H315" s="30">
        <f t="shared" si="17"/>
        <v>5581.96875</v>
      </c>
    </row>
    <row r="316" spans="2:8">
      <c r="B316" s="152">
        <f t="shared" si="18"/>
        <v>0</v>
      </c>
      <c r="D316" s="30">
        <v>0</v>
      </c>
      <c r="E316" s="30">
        <f t="shared" si="14"/>
        <v>0</v>
      </c>
      <c r="F316" s="30">
        <f t="shared" si="15"/>
        <v>207833.33333333334</v>
      </c>
      <c r="G316" s="30">
        <f t="shared" si="16"/>
        <v>192988.09523809524</v>
      </c>
      <c r="H316" s="30">
        <f t="shared" si="17"/>
        <v>178142.85714285713</v>
      </c>
    </row>
    <row r="317" spans="2:8">
      <c r="B317" s="152">
        <f t="shared" si="18"/>
        <v>0</v>
      </c>
      <c r="D317" s="30">
        <v>0</v>
      </c>
      <c r="E317" s="30">
        <f t="shared" si="14"/>
        <v>517502.98799999995</v>
      </c>
      <c r="F317" s="30">
        <f t="shared" si="15"/>
        <v>388127.24099999998</v>
      </c>
      <c r="G317" s="30">
        <f t="shared" si="16"/>
        <v>258751.49400000001</v>
      </c>
      <c r="H317" s="30">
        <f t="shared" si="17"/>
        <v>129375.747</v>
      </c>
    </row>
    <row r="318" spans="2:8">
      <c r="B318" s="152">
        <f t="shared" si="18"/>
        <v>0</v>
      </c>
      <c r="D318" s="30">
        <v>0</v>
      </c>
      <c r="E318" s="30">
        <f t="shared" si="14"/>
        <v>0</v>
      </c>
      <c r="F318" s="30">
        <f t="shared" si="15"/>
        <v>377550.00000000006</v>
      </c>
      <c r="G318" s="30">
        <f t="shared" si="16"/>
        <v>283162.50000000006</v>
      </c>
      <c r="H318" s="30">
        <f t="shared" si="17"/>
        <v>188775.00000000006</v>
      </c>
    </row>
    <row r="319" spans="2:8">
      <c r="B319" s="152">
        <f t="shared" si="18"/>
        <v>0</v>
      </c>
      <c r="D319" s="30">
        <v>0</v>
      </c>
      <c r="E319" s="30">
        <f t="shared" si="14"/>
        <v>0</v>
      </c>
      <c r="F319" s="30">
        <f t="shared" si="15"/>
        <v>0</v>
      </c>
      <c r="G319" s="30">
        <f t="shared" si="16"/>
        <v>405000</v>
      </c>
      <c r="H319" s="30">
        <f t="shared" si="17"/>
        <v>303750</v>
      </c>
    </row>
    <row r="320" spans="2:8">
      <c r="B320" s="152">
        <f t="shared" si="18"/>
        <v>0</v>
      </c>
      <c r="D320" s="30">
        <v>0</v>
      </c>
      <c r="E320" s="30">
        <f t="shared" si="14"/>
        <v>0</v>
      </c>
      <c r="F320" s="30">
        <f t="shared" si="15"/>
        <v>0</v>
      </c>
      <c r="G320" s="30">
        <f t="shared" si="16"/>
        <v>0</v>
      </c>
      <c r="H320" s="30">
        <f t="shared" si="17"/>
        <v>405000</v>
      </c>
    </row>
    <row r="321" spans="2:8">
      <c r="B321" s="152">
        <f t="shared" si="18"/>
        <v>0</v>
      </c>
      <c r="D321" s="30">
        <v>0</v>
      </c>
      <c r="E321" s="30">
        <f t="shared" si="14"/>
        <v>0</v>
      </c>
      <c r="F321" s="30">
        <f t="shared" si="15"/>
        <v>0</v>
      </c>
      <c r="G321" s="30">
        <f t="shared" si="16"/>
        <v>0</v>
      </c>
      <c r="H321" s="30">
        <f t="shared" si="17"/>
        <v>0</v>
      </c>
    </row>
    <row r="322" spans="2:8">
      <c r="B322" s="152">
        <f t="shared" si="18"/>
        <v>0</v>
      </c>
      <c r="D322" s="30">
        <v>0</v>
      </c>
      <c r="E322" s="30">
        <f t="shared" si="14"/>
        <v>445511.43</v>
      </c>
      <c r="F322" s="30">
        <f t="shared" si="15"/>
        <v>334133.57250000001</v>
      </c>
      <c r="G322" s="30">
        <f t="shared" si="16"/>
        <v>222755.71500000003</v>
      </c>
      <c r="H322" s="30">
        <f t="shared" si="17"/>
        <v>111377.85750000001</v>
      </c>
    </row>
    <row r="323" spans="2:8">
      <c r="B323" s="152">
        <f t="shared" si="18"/>
        <v>0</v>
      </c>
      <c r="D323" s="30">
        <v>0</v>
      </c>
      <c r="E323" s="30">
        <f t="shared" si="14"/>
        <v>750188.85825000016</v>
      </c>
      <c r="F323" s="30">
        <f t="shared" si="15"/>
        <v>710705.23413157905</v>
      </c>
      <c r="G323" s="30">
        <f t="shared" si="16"/>
        <v>671221.61001315794</v>
      </c>
      <c r="H323" s="30">
        <f t="shared" si="17"/>
        <v>631737.98589473683</v>
      </c>
    </row>
    <row r="324" spans="2:8">
      <c r="B324" s="152">
        <f t="shared" ref="B324:B387" si="19">B138</f>
        <v>0</v>
      </c>
      <c r="D324" s="30">
        <v>0</v>
      </c>
      <c r="E324" s="30">
        <f t="shared" si="14"/>
        <v>0</v>
      </c>
      <c r="F324" s="30">
        <f t="shared" si="15"/>
        <v>476774.66849999997</v>
      </c>
      <c r="G324" s="30">
        <f t="shared" si="16"/>
        <v>451681.26489473681</v>
      </c>
      <c r="H324" s="30">
        <f t="shared" si="17"/>
        <v>426587.86128947366</v>
      </c>
    </row>
    <row r="325" spans="2:8">
      <c r="B325" s="152">
        <f t="shared" si="19"/>
        <v>0</v>
      </c>
      <c r="D325" s="30">
        <v>0</v>
      </c>
      <c r="E325" s="30">
        <f t="shared" si="14"/>
        <v>-3096.5068333333338</v>
      </c>
      <c r="F325" s="30">
        <f t="shared" si="15"/>
        <v>-2989.7307356321844</v>
      </c>
      <c r="G325" s="30">
        <f t="shared" si="16"/>
        <v>-2882.954637931035</v>
      </c>
      <c r="H325" s="30">
        <f t="shared" si="17"/>
        <v>-2776.1785402298856</v>
      </c>
    </row>
    <row r="326" spans="2:8">
      <c r="B326" s="152">
        <f t="shared" si="19"/>
        <v>0</v>
      </c>
      <c r="D326" s="30">
        <v>0</v>
      </c>
      <c r="E326" s="30">
        <f t="shared" si="14"/>
        <v>253649.42850000001</v>
      </c>
      <c r="F326" s="30">
        <f t="shared" si="15"/>
        <v>240299.45857894738</v>
      </c>
      <c r="G326" s="30">
        <f t="shared" si="16"/>
        <v>226949.48865789475</v>
      </c>
      <c r="H326" s="30">
        <f t="shared" si="17"/>
        <v>213599.51873684212</v>
      </c>
    </row>
    <row r="327" spans="2:8">
      <c r="B327" s="152">
        <f t="shared" si="19"/>
        <v>0</v>
      </c>
      <c r="D327" s="30">
        <v>0</v>
      </c>
      <c r="E327" s="30">
        <f t="shared" si="14"/>
        <v>9358.2708750000002</v>
      </c>
      <c r="F327" s="30">
        <f t="shared" si="15"/>
        <v>9118.3152115384619</v>
      </c>
      <c r="G327" s="30">
        <f t="shared" si="16"/>
        <v>8878.3595480769236</v>
      </c>
      <c r="H327" s="30">
        <f t="shared" si="17"/>
        <v>8638.4038846153853</v>
      </c>
    </row>
    <row r="328" spans="2:8">
      <c r="B328" s="152">
        <f t="shared" si="19"/>
        <v>0</v>
      </c>
      <c r="D328" s="30">
        <v>0</v>
      </c>
      <c r="E328" s="30">
        <f t="shared" si="14"/>
        <v>49988.969333333342</v>
      </c>
      <c r="F328" s="30">
        <f t="shared" si="15"/>
        <v>48265.211770114947</v>
      </c>
      <c r="G328" s="30">
        <f t="shared" si="16"/>
        <v>46541.454206896553</v>
      </c>
      <c r="H328" s="30">
        <f t="shared" si="17"/>
        <v>44817.696643678159</v>
      </c>
    </row>
    <row r="329" spans="2:8">
      <c r="B329" s="152">
        <f t="shared" si="19"/>
        <v>0</v>
      </c>
      <c r="D329" s="30">
        <v>0</v>
      </c>
      <c r="E329" s="30">
        <f t="shared" si="14"/>
        <v>-49885.827450000004</v>
      </c>
      <c r="F329" s="30">
        <f t="shared" si="15"/>
        <v>-49381.930203030308</v>
      </c>
      <c r="G329" s="30">
        <f t="shared" si="16"/>
        <v>-48878.032956060611</v>
      </c>
      <c r="H329" s="30">
        <f t="shared" si="17"/>
        <v>-48374.135709090915</v>
      </c>
    </row>
    <row r="330" spans="2:8">
      <c r="B330" s="152">
        <f t="shared" si="19"/>
        <v>0</v>
      </c>
      <c r="D330" s="30">
        <v>0</v>
      </c>
      <c r="E330" s="30">
        <f t="shared" si="14"/>
        <v>0</v>
      </c>
      <c r="F330" s="30">
        <f t="shared" si="15"/>
        <v>407431.60499999998</v>
      </c>
      <c r="G330" s="30">
        <f t="shared" si="16"/>
        <v>403316.13424242422</v>
      </c>
      <c r="H330" s="30">
        <f t="shared" si="17"/>
        <v>399200.66348484845</v>
      </c>
    </row>
    <row r="331" spans="2:8">
      <c r="B331" s="152">
        <f t="shared" si="19"/>
        <v>0</v>
      </c>
      <c r="D331" s="30">
        <v>0</v>
      </c>
      <c r="E331" s="30">
        <f t="shared" si="14"/>
        <v>3154.4208749999998</v>
      </c>
      <c r="F331" s="30">
        <f t="shared" si="15"/>
        <v>3114.4914968354428</v>
      </c>
      <c r="G331" s="30">
        <f t="shared" si="16"/>
        <v>3074.5621186708859</v>
      </c>
      <c r="H331" s="30">
        <f t="shared" si="17"/>
        <v>3034.6327405063289</v>
      </c>
    </row>
    <row r="332" spans="2:8">
      <c r="B332" s="152">
        <f t="shared" si="19"/>
        <v>0</v>
      </c>
      <c r="D332" s="30">
        <v>0</v>
      </c>
      <c r="E332" s="30">
        <f t="shared" si="14"/>
        <v>152187.416</v>
      </c>
      <c r="F332" s="30">
        <f t="shared" si="15"/>
        <v>135277.7031111111</v>
      </c>
      <c r="G332" s="30">
        <f t="shared" si="16"/>
        <v>118367.99022222222</v>
      </c>
      <c r="H332" s="30">
        <f t="shared" si="17"/>
        <v>101458.27733333333</v>
      </c>
    </row>
    <row r="333" spans="2:8">
      <c r="B333" s="152">
        <f t="shared" si="19"/>
        <v>0</v>
      </c>
      <c r="D333" s="30">
        <v>0</v>
      </c>
      <c r="E333" s="30">
        <f t="shared" si="14"/>
        <v>0</v>
      </c>
      <c r="F333" s="30">
        <f t="shared" si="15"/>
        <v>63482.704999999994</v>
      </c>
      <c r="G333" s="30">
        <f t="shared" si="16"/>
        <v>56429.071111111109</v>
      </c>
      <c r="H333" s="30">
        <f t="shared" si="17"/>
        <v>49375.437222222223</v>
      </c>
    </row>
    <row r="334" spans="2:8">
      <c r="B334" s="152">
        <f t="shared" si="19"/>
        <v>0</v>
      </c>
      <c r="D334" s="30">
        <v>0</v>
      </c>
      <c r="E334" s="30">
        <f t="shared" si="14"/>
        <v>258686.19125</v>
      </c>
      <c r="F334" s="30">
        <f t="shared" si="15"/>
        <v>252053.2119871795</v>
      </c>
      <c r="G334" s="30">
        <f t="shared" si="16"/>
        <v>245420.232724359</v>
      </c>
      <c r="H334" s="30">
        <f t="shared" si="17"/>
        <v>238787.25346153849</v>
      </c>
    </row>
    <row r="335" spans="2:8">
      <c r="B335" s="152">
        <f t="shared" si="19"/>
        <v>0</v>
      </c>
      <c r="D335" s="30">
        <v>0</v>
      </c>
      <c r="E335" s="30">
        <f t="shared" si="14"/>
        <v>0</v>
      </c>
      <c r="F335" s="30">
        <f t="shared" si="15"/>
        <v>-13112.133625000011</v>
      </c>
      <c r="G335" s="30">
        <f t="shared" si="16"/>
        <v>-12775.925070512832</v>
      </c>
      <c r="H335" s="30">
        <f t="shared" si="17"/>
        <v>-12439.716516025652</v>
      </c>
    </row>
    <row r="336" spans="2:8">
      <c r="B336" s="152">
        <f t="shared" si="19"/>
        <v>0</v>
      </c>
      <c r="D336" s="30">
        <v>0</v>
      </c>
      <c r="E336" s="30">
        <f t="shared" ref="E336:E389" si="20">D1266</f>
        <v>-522.74</v>
      </c>
      <c r="F336" s="30">
        <f t="shared" ref="F336:F389" si="21">E1266</f>
        <v>-504.7144827586207</v>
      </c>
      <c r="G336" s="30">
        <f t="shared" ref="G336:G389" si="22">F1266</f>
        <v>-486.6889655172414</v>
      </c>
      <c r="H336" s="30">
        <f t="shared" ref="H336:H389" si="23">G1266</f>
        <v>-468.66344827586209</v>
      </c>
    </row>
    <row r="337" spans="2:8">
      <c r="B337" s="152">
        <f t="shared" si="19"/>
        <v>0</v>
      </c>
      <c r="D337" s="30">
        <v>0</v>
      </c>
      <c r="E337" s="30">
        <f t="shared" si="20"/>
        <v>19121.418166666666</v>
      </c>
      <c r="F337" s="30">
        <f t="shared" si="21"/>
        <v>18462.058919540228</v>
      </c>
      <c r="G337" s="30">
        <f t="shared" si="22"/>
        <v>17802.69967241379</v>
      </c>
      <c r="H337" s="30">
        <f t="shared" si="23"/>
        <v>17143.340425287352</v>
      </c>
    </row>
    <row r="338" spans="2:8">
      <c r="B338" s="152">
        <f t="shared" si="19"/>
        <v>0</v>
      </c>
      <c r="D338" s="30">
        <v>0</v>
      </c>
      <c r="E338" s="30">
        <f t="shared" si="20"/>
        <v>3784.85</v>
      </c>
      <c r="F338" s="30">
        <f t="shared" si="21"/>
        <v>3654.3379310344826</v>
      </c>
      <c r="G338" s="30">
        <f t="shared" si="22"/>
        <v>3523.8258620689653</v>
      </c>
      <c r="H338" s="30">
        <f t="shared" si="23"/>
        <v>3393.313793103448</v>
      </c>
    </row>
    <row r="339" spans="2:8">
      <c r="B339" s="152">
        <f t="shared" si="19"/>
        <v>0</v>
      </c>
      <c r="D339" s="30">
        <v>0</v>
      </c>
      <c r="E339" s="30">
        <f t="shared" si="20"/>
        <v>0</v>
      </c>
      <c r="F339" s="30">
        <f t="shared" si="21"/>
        <v>1101.6578333333332</v>
      </c>
      <c r="G339" s="30">
        <f t="shared" si="22"/>
        <v>1063.6696321839079</v>
      </c>
      <c r="H339" s="30">
        <f t="shared" si="23"/>
        <v>1025.6814310344826</v>
      </c>
    </row>
    <row r="340" spans="2:8">
      <c r="B340" s="152">
        <f t="shared" si="19"/>
        <v>0</v>
      </c>
      <c r="D340" s="30">
        <v>0</v>
      </c>
      <c r="E340" s="30">
        <f t="shared" si="20"/>
        <v>0</v>
      </c>
      <c r="F340" s="30">
        <f t="shared" si="21"/>
        <v>0</v>
      </c>
      <c r="G340" s="30">
        <f t="shared" si="22"/>
        <v>4916.666666666667</v>
      </c>
      <c r="H340" s="30">
        <f t="shared" si="23"/>
        <v>4747.1264367816093</v>
      </c>
    </row>
    <row r="341" spans="2:8">
      <c r="B341" s="152">
        <f t="shared" si="19"/>
        <v>0</v>
      </c>
      <c r="D341" s="30">
        <v>0</v>
      </c>
      <c r="E341" s="30">
        <f t="shared" si="20"/>
        <v>0</v>
      </c>
      <c r="F341" s="30">
        <f t="shared" si="21"/>
        <v>0</v>
      </c>
      <c r="G341" s="30">
        <f t="shared" si="22"/>
        <v>0</v>
      </c>
      <c r="H341" s="30">
        <f t="shared" si="23"/>
        <v>4916.666666666667</v>
      </c>
    </row>
    <row r="342" spans="2:8">
      <c r="B342" s="152">
        <f t="shared" si="19"/>
        <v>0</v>
      </c>
      <c r="D342" s="30">
        <v>0</v>
      </c>
      <c r="E342" s="30">
        <f t="shared" si="20"/>
        <v>0</v>
      </c>
      <c r="F342" s="30">
        <f t="shared" si="21"/>
        <v>0</v>
      </c>
      <c r="G342" s="30">
        <f t="shared" si="22"/>
        <v>0</v>
      </c>
      <c r="H342" s="30">
        <f t="shared" si="23"/>
        <v>0</v>
      </c>
    </row>
    <row r="343" spans="2:8">
      <c r="B343" s="152">
        <f t="shared" si="19"/>
        <v>0</v>
      </c>
      <c r="D343" s="30">
        <v>0</v>
      </c>
      <c r="E343" s="30">
        <f t="shared" si="20"/>
        <v>317925.32874999999</v>
      </c>
      <c r="F343" s="30">
        <f t="shared" si="21"/>
        <v>309773.39724358974</v>
      </c>
      <c r="G343" s="30">
        <f t="shared" si="22"/>
        <v>301621.4657371795</v>
      </c>
      <c r="H343" s="30">
        <f t="shared" si="23"/>
        <v>293469.53423076926</v>
      </c>
    </row>
    <row r="344" spans="2:8">
      <c r="B344" s="152">
        <f t="shared" si="19"/>
        <v>0</v>
      </c>
      <c r="D344" s="30">
        <v>0</v>
      </c>
      <c r="E344" s="30">
        <f t="shared" si="20"/>
        <v>0</v>
      </c>
      <c r="F344" s="30">
        <f t="shared" si="21"/>
        <v>10274.394375</v>
      </c>
      <c r="G344" s="30">
        <f t="shared" si="22"/>
        <v>10010.948365384615</v>
      </c>
      <c r="H344" s="30">
        <f t="shared" si="23"/>
        <v>9747.5023557692293</v>
      </c>
    </row>
    <row r="345" spans="2:8">
      <c r="B345" s="152">
        <f t="shared" si="19"/>
        <v>0</v>
      </c>
      <c r="D345" s="30">
        <v>0</v>
      </c>
      <c r="E345" s="30">
        <f t="shared" si="20"/>
        <v>70422.83633333334</v>
      </c>
      <c r="F345" s="30">
        <f t="shared" si="21"/>
        <v>65392.633738095246</v>
      </c>
      <c r="G345" s="30">
        <f t="shared" si="22"/>
        <v>60362.431142857153</v>
      </c>
      <c r="H345" s="30">
        <f t="shared" si="23"/>
        <v>55332.228547619059</v>
      </c>
    </row>
    <row r="346" spans="2:8">
      <c r="B346" s="152">
        <f t="shared" si="19"/>
        <v>0</v>
      </c>
      <c r="D346" s="30">
        <v>0</v>
      </c>
      <c r="E346" s="30">
        <f t="shared" si="20"/>
        <v>0</v>
      </c>
      <c r="F346" s="30">
        <f t="shared" si="21"/>
        <v>122976.5625</v>
      </c>
      <c r="G346" s="30">
        <f t="shared" si="22"/>
        <v>121419.89715189874</v>
      </c>
      <c r="H346" s="30">
        <f t="shared" si="23"/>
        <v>119863.23180379748</v>
      </c>
    </row>
    <row r="347" spans="2:8">
      <c r="B347" s="152">
        <f t="shared" si="19"/>
        <v>0</v>
      </c>
      <c r="D347" s="30">
        <v>0</v>
      </c>
      <c r="E347" s="30">
        <f t="shared" si="20"/>
        <v>41413.301000000007</v>
      </c>
      <c r="F347" s="30">
        <f t="shared" si="21"/>
        <v>40351.421487179497</v>
      </c>
      <c r="G347" s="30">
        <f t="shared" si="22"/>
        <v>39289.541974358981</v>
      </c>
      <c r="H347" s="30">
        <f t="shared" si="23"/>
        <v>38227.662461538464</v>
      </c>
    </row>
    <row r="348" spans="2:8">
      <c r="B348" s="152">
        <f t="shared" si="19"/>
        <v>0</v>
      </c>
      <c r="D348" s="30">
        <v>0</v>
      </c>
      <c r="E348" s="30">
        <f t="shared" si="20"/>
        <v>0</v>
      </c>
      <c r="F348" s="30">
        <f t="shared" si="21"/>
        <v>267750</v>
      </c>
      <c r="G348" s="30">
        <f t="shared" si="22"/>
        <v>263211.86440677964</v>
      </c>
      <c r="H348" s="30">
        <f t="shared" si="23"/>
        <v>258673.72881355931</v>
      </c>
    </row>
    <row r="349" spans="2:8">
      <c r="B349" s="152">
        <f t="shared" si="19"/>
        <v>0</v>
      </c>
      <c r="D349" s="30">
        <v>0</v>
      </c>
      <c r="E349" s="30">
        <f t="shared" si="20"/>
        <v>0</v>
      </c>
      <c r="F349" s="30">
        <f t="shared" si="21"/>
        <v>80749.05</v>
      </c>
      <c r="G349" s="30">
        <f t="shared" si="22"/>
        <v>71776.933333333334</v>
      </c>
      <c r="H349" s="30">
        <f t="shared" si="23"/>
        <v>62804.816666666666</v>
      </c>
    </row>
    <row r="350" spans="2:8">
      <c r="B350" s="152">
        <f t="shared" si="19"/>
        <v>0</v>
      </c>
      <c r="D350" s="30">
        <v>0</v>
      </c>
      <c r="E350" s="30">
        <f t="shared" si="20"/>
        <v>99294.163333333345</v>
      </c>
      <c r="F350" s="30">
        <f t="shared" si="21"/>
        <v>92201.723095238107</v>
      </c>
      <c r="G350" s="30">
        <f t="shared" si="22"/>
        <v>85109.282857142869</v>
      </c>
      <c r="H350" s="30">
        <f t="shared" si="23"/>
        <v>78016.842619047631</v>
      </c>
    </row>
    <row r="351" spans="2:8">
      <c r="B351" s="152">
        <f t="shared" si="19"/>
        <v>0</v>
      </c>
      <c r="D351" s="30">
        <v>0</v>
      </c>
      <c r="E351" s="30">
        <f t="shared" si="20"/>
        <v>0</v>
      </c>
      <c r="F351" s="30">
        <f t="shared" si="21"/>
        <v>3339.9686666666666</v>
      </c>
      <c r="G351" s="30">
        <f t="shared" si="22"/>
        <v>3101.399476190476</v>
      </c>
      <c r="H351" s="30">
        <f t="shared" si="23"/>
        <v>2862.8302857142853</v>
      </c>
    </row>
    <row r="352" spans="2:8">
      <c r="B352" s="152">
        <f t="shared" si="19"/>
        <v>0</v>
      </c>
      <c r="D352" s="30">
        <v>0</v>
      </c>
      <c r="E352" s="30">
        <f t="shared" si="20"/>
        <v>156087.19274999999</v>
      </c>
      <c r="F352" s="30">
        <f t="shared" si="21"/>
        <v>152084.95703846152</v>
      </c>
      <c r="G352" s="30">
        <f t="shared" si="22"/>
        <v>148082.72132692306</v>
      </c>
      <c r="H352" s="30">
        <f t="shared" si="23"/>
        <v>144080.48561538459</v>
      </c>
    </row>
    <row r="353" spans="2:8">
      <c r="B353" s="152">
        <f t="shared" si="19"/>
        <v>0</v>
      </c>
      <c r="D353" s="30">
        <v>0</v>
      </c>
      <c r="E353" s="30">
        <f t="shared" si="20"/>
        <v>0</v>
      </c>
      <c r="F353" s="30">
        <f t="shared" si="21"/>
        <v>78070.327999999994</v>
      </c>
      <c r="G353" s="30">
        <f t="shared" si="22"/>
        <v>76068.524717948705</v>
      </c>
      <c r="H353" s="30">
        <f t="shared" si="23"/>
        <v>74066.721435897431</v>
      </c>
    </row>
    <row r="354" spans="2:8">
      <c r="B354" s="152">
        <f t="shared" si="19"/>
        <v>0</v>
      </c>
      <c r="D354" s="30">
        <v>0</v>
      </c>
      <c r="E354" s="30">
        <f t="shared" si="20"/>
        <v>216595.4105</v>
      </c>
      <c r="F354" s="30">
        <f t="shared" si="21"/>
        <v>212924.30184745762</v>
      </c>
      <c r="G354" s="30">
        <f t="shared" si="22"/>
        <v>209253.19319491525</v>
      </c>
      <c r="H354" s="30">
        <f t="shared" si="23"/>
        <v>205582.08454237288</v>
      </c>
    </row>
    <row r="355" spans="2:8">
      <c r="B355" s="152">
        <f t="shared" si="19"/>
        <v>0</v>
      </c>
      <c r="D355" s="30">
        <v>0</v>
      </c>
      <c r="E355" s="30">
        <f t="shared" si="20"/>
        <v>0</v>
      </c>
      <c r="F355" s="30">
        <f t="shared" si="21"/>
        <v>134866.66666666666</v>
      </c>
      <c r="G355" s="30">
        <f t="shared" si="22"/>
        <v>132580.79096045197</v>
      </c>
      <c r="H355" s="30">
        <f t="shared" si="23"/>
        <v>130294.91525423728</v>
      </c>
    </row>
    <row r="356" spans="2:8">
      <c r="B356" s="152">
        <f t="shared" si="19"/>
        <v>0</v>
      </c>
      <c r="D356" s="30">
        <v>0</v>
      </c>
      <c r="E356" s="30">
        <f t="shared" si="20"/>
        <v>0</v>
      </c>
      <c r="F356" s="30">
        <f t="shared" si="21"/>
        <v>233041.66666666666</v>
      </c>
      <c r="G356" s="30">
        <f t="shared" si="22"/>
        <v>229091.80790960451</v>
      </c>
      <c r="H356" s="30">
        <f t="shared" si="23"/>
        <v>225141.94915254237</v>
      </c>
    </row>
    <row r="357" spans="2:8">
      <c r="B357" s="152">
        <f t="shared" si="19"/>
        <v>0</v>
      </c>
      <c r="D357" s="30">
        <v>0</v>
      </c>
      <c r="E357" s="30">
        <f t="shared" si="20"/>
        <v>64834.658999999992</v>
      </c>
      <c r="F357" s="30">
        <f t="shared" si="21"/>
        <v>48625.994249999996</v>
      </c>
      <c r="G357" s="30">
        <f t="shared" si="22"/>
        <v>32417.3295</v>
      </c>
      <c r="H357" s="30">
        <f t="shared" si="23"/>
        <v>16208.66475</v>
      </c>
    </row>
    <row r="358" spans="2:8">
      <c r="B358" s="152">
        <f t="shared" si="19"/>
        <v>0</v>
      </c>
      <c r="D358" s="30">
        <v>0</v>
      </c>
      <c r="E358" s="30">
        <f t="shared" si="20"/>
        <v>0</v>
      </c>
      <c r="F358" s="30">
        <f t="shared" si="21"/>
        <v>99201.86099999999</v>
      </c>
      <c r="G358" s="30">
        <f t="shared" si="22"/>
        <v>74401.395749999996</v>
      </c>
      <c r="H358" s="30">
        <f t="shared" si="23"/>
        <v>49600.930500000002</v>
      </c>
    </row>
    <row r="359" spans="2:8">
      <c r="B359" s="152">
        <f t="shared" si="19"/>
        <v>0</v>
      </c>
      <c r="D359" s="30">
        <v>0</v>
      </c>
      <c r="E359" s="30">
        <f t="shared" si="20"/>
        <v>0</v>
      </c>
      <c r="F359" s="30">
        <f t="shared" si="21"/>
        <v>487500</v>
      </c>
      <c r="G359" s="30">
        <f t="shared" si="22"/>
        <v>461842.10526315786</v>
      </c>
      <c r="H359" s="30">
        <f t="shared" si="23"/>
        <v>436184.21052631579</v>
      </c>
    </row>
    <row r="360" spans="2:8">
      <c r="B360" s="152">
        <f t="shared" si="19"/>
        <v>0</v>
      </c>
      <c r="D360" s="30">
        <v>0</v>
      </c>
      <c r="E360" s="30">
        <f t="shared" si="20"/>
        <v>538314.70975000004</v>
      </c>
      <c r="F360" s="30">
        <f t="shared" si="21"/>
        <v>524511.76847435907</v>
      </c>
      <c r="G360" s="30">
        <f t="shared" si="22"/>
        <v>510708.82719871803</v>
      </c>
      <c r="H360" s="30">
        <f t="shared" si="23"/>
        <v>496905.885923077</v>
      </c>
    </row>
    <row r="361" spans="2:8">
      <c r="B361" s="152">
        <f t="shared" si="19"/>
        <v>0</v>
      </c>
      <c r="D361" s="30">
        <v>0</v>
      </c>
      <c r="E361" s="30">
        <f t="shared" si="20"/>
        <v>0</v>
      </c>
      <c r="F361" s="30">
        <f t="shared" si="21"/>
        <v>1790707.2792499999</v>
      </c>
      <c r="G361" s="30">
        <f t="shared" si="22"/>
        <v>1744791.7079871795</v>
      </c>
      <c r="H361" s="30">
        <f t="shared" si="23"/>
        <v>1698876.1367243589</v>
      </c>
    </row>
    <row r="362" spans="2:8">
      <c r="B362" s="152">
        <f t="shared" si="19"/>
        <v>0</v>
      </c>
      <c r="D362" s="30">
        <v>0</v>
      </c>
      <c r="E362" s="30">
        <f t="shared" si="20"/>
        <v>0</v>
      </c>
      <c r="F362" s="30">
        <f t="shared" si="21"/>
        <v>158000</v>
      </c>
      <c r="G362" s="30">
        <f t="shared" si="22"/>
        <v>153948.71794871794</v>
      </c>
      <c r="H362" s="30">
        <f t="shared" si="23"/>
        <v>149897.43589743588</v>
      </c>
    </row>
    <row r="363" spans="2:8">
      <c r="B363" s="152">
        <f t="shared" si="19"/>
        <v>0</v>
      </c>
      <c r="D363" s="30">
        <v>0</v>
      </c>
      <c r="E363" s="30">
        <f t="shared" si="20"/>
        <v>0</v>
      </c>
      <c r="F363" s="30">
        <f t="shared" si="21"/>
        <v>800467.50000000012</v>
      </c>
      <c r="G363" s="30">
        <f t="shared" si="22"/>
        <v>779942.69230769237</v>
      </c>
      <c r="H363" s="30">
        <f t="shared" si="23"/>
        <v>759417.88461538462</v>
      </c>
    </row>
    <row r="364" spans="2:8">
      <c r="B364" s="152">
        <f t="shared" si="19"/>
        <v>0</v>
      </c>
      <c r="D364" s="30">
        <v>0</v>
      </c>
      <c r="E364" s="30">
        <f t="shared" si="20"/>
        <v>0</v>
      </c>
      <c r="F364" s="30">
        <f t="shared" si="21"/>
        <v>64125</v>
      </c>
      <c r="G364" s="30">
        <f t="shared" si="22"/>
        <v>57000</v>
      </c>
      <c r="H364" s="30">
        <f t="shared" si="23"/>
        <v>49875</v>
      </c>
    </row>
    <row r="365" spans="2:8">
      <c r="B365" s="152">
        <f t="shared" si="19"/>
        <v>0</v>
      </c>
      <c r="D365" s="30">
        <v>0</v>
      </c>
      <c r="E365" s="30">
        <f t="shared" si="20"/>
        <v>0</v>
      </c>
      <c r="F365" s="30">
        <f t="shared" si="21"/>
        <v>748853.34375</v>
      </c>
      <c r="G365" s="30">
        <f t="shared" si="22"/>
        <v>729651.9759615385</v>
      </c>
      <c r="H365" s="30">
        <f t="shared" si="23"/>
        <v>710450.60817307699</v>
      </c>
    </row>
    <row r="366" spans="2:8">
      <c r="B366" s="152">
        <f t="shared" si="19"/>
        <v>0</v>
      </c>
      <c r="D366" s="30">
        <v>0</v>
      </c>
      <c r="E366" s="30">
        <f t="shared" si="20"/>
        <v>5494749.2098085769</v>
      </c>
      <c r="F366" s="30">
        <f t="shared" si="21"/>
        <v>5457871.6983333519</v>
      </c>
      <c r="G366" s="30">
        <f t="shared" si="22"/>
        <v>5420994.1868581269</v>
      </c>
      <c r="H366" s="30">
        <f t="shared" si="23"/>
        <v>5384116.6753829019</v>
      </c>
    </row>
    <row r="367" spans="2:8">
      <c r="B367" s="152">
        <f t="shared" si="19"/>
        <v>0</v>
      </c>
      <c r="D367" s="30">
        <v>0</v>
      </c>
      <c r="E367" s="30">
        <f t="shared" si="20"/>
        <v>386378.7705562067</v>
      </c>
      <c r="F367" s="30">
        <f t="shared" si="21"/>
        <v>383785.62444509123</v>
      </c>
      <c r="G367" s="30">
        <f t="shared" si="22"/>
        <v>381192.47833397577</v>
      </c>
      <c r="H367" s="30">
        <f t="shared" si="23"/>
        <v>378599.33222286031</v>
      </c>
    </row>
    <row r="368" spans="2:8">
      <c r="B368" s="152">
        <f t="shared" si="19"/>
        <v>0</v>
      </c>
      <c r="D368" s="30">
        <v>0</v>
      </c>
      <c r="E368" s="30">
        <f t="shared" si="20"/>
        <v>103471.23513794334</v>
      </c>
      <c r="F368" s="30">
        <f t="shared" si="21"/>
        <v>99903.261512497018</v>
      </c>
      <c r="G368" s="30">
        <f t="shared" si="22"/>
        <v>96335.287887050697</v>
      </c>
      <c r="H368" s="30">
        <f t="shared" si="23"/>
        <v>92767.314261604377</v>
      </c>
    </row>
    <row r="369" spans="2:8">
      <c r="B369" s="152">
        <f t="shared" si="19"/>
        <v>0</v>
      </c>
      <c r="D369" s="30">
        <v>0</v>
      </c>
      <c r="E369" s="30">
        <f t="shared" si="20"/>
        <v>10799.403097353668</v>
      </c>
      <c r="F369" s="30">
        <f t="shared" si="21"/>
        <v>10231.013460650844</v>
      </c>
      <c r="G369" s="30">
        <f t="shared" si="22"/>
        <v>9662.623823948019</v>
      </c>
      <c r="H369" s="30">
        <f t="shared" si="23"/>
        <v>9094.2341872451943</v>
      </c>
    </row>
    <row r="370" spans="2:8">
      <c r="B370" s="152">
        <f t="shared" si="19"/>
        <v>0</v>
      </c>
      <c r="D370" s="30">
        <v>0</v>
      </c>
      <c r="E370" s="30">
        <f t="shared" si="20"/>
        <v>47351.229554502068</v>
      </c>
      <c r="F370" s="30">
        <f t="shared" si="21"/>
        <v>42089.981826224059</v>
      </c>
      <c r="G370" s="30">
        <f t="shared" si="22"/>
        <v>36828.73409794605</v>
      </c>
      <c r="H370" s="30">
        <f t="shared" si="23"/>
        <v>31567.48636966804</v>
      </c>
    </row>
    <row r="371" spans="2:8">
      <c r="B371" s="152">
        <f t="shared" si="19"/>
        <v>0</v>
      </c>
      <c r="D371" s="30">
        <v>0</v>
      </c>
      <c r="E371" s="30">
        <f t="shared" si="20"/>
        <v>5968.9423067838434</v>
      </c>
      <c r="F371" s="30">
        <f t="shared" si="21"/>
        <v>5654.7874485320626</v>
      </c>
      <c r="G371" s="30">
        <f t="shared" si="22"/>
        <v>5340.632590280281</v>
      </c>
      <c r="H371" s="30">
        <f t="shared" si="23"/>
        <v>5026.4777320284993</v>
      </c>
    </row>
    <row r="372" spans="2:8">
      <c r="B372" s="152">
        <f t="shared" si="19"/>
        <v>0</v>
      </c>
      <c r="D372" s="30">
        <v>0</v>
      </c>
      <c r="E372" s="30">
        <f t="shared" si="20"/>
        <v>30099.767825124185</v>
      </c>
      <c r="F372" s="30">
        <f t="shared" si="21"/>
        <v>29061.844796671627</v>
      </c>
      <c r="G372" s="30">
        <f t="shared" si="22"/>
        <v>28023.921768219068</v>
      </c>
      <c r="H372" s="30">
        <f t="shared" si="23"/>
        <v>26985.99873976651</v>
      </c>
    </row>
    <row r="373" spans="2:8">
      <c r="B373" s="152">
        <f t="shared" si="19"/>
        <v>0</v>
      </c>
      <c r="D373" s="30">
        <v>0</v>
      </c>
      <c r="E373" s="30">
        <f t="shared" si="20"/>
        <v>27079.270940437233</v>
      </c>
      <c r="F373" s="30">
        <f t="shared" si="21"/>
        <v>26145.502976973879</v>
      </c>
      <c r="G373" s="30">
        <f t="shared" si="22"/>
        <v>25211.735013510526</v>
      </c>
      <c r="H373" s="30">
        <f t="shared" si="23"/>
        <v>24277.967050047173</v>
      </c>
    </row>
    <row r="374" spans="2:8">
      <c r="B374" s="152">
        <f t="shared" si="19"/>
        <v>0</v>
      </c>
      <c r="D374" s="30">
        <v>0</v>
      </c>
      <c r="E374" s="30">
        <f t="shared" si="20"/>
        <v>5968.9370093890329</v>
      </c>
      <c r="F374" s="30">
        <f t="shared" si="21"/>
        <v>5654.7824299475051</v>
      </c>
      <c r="G374" s="30">
        <f t="shared" si="22"/>
        <v>5340.6278505059772</v>
      </c>
      <c r="H374" s="30">
        <f t="shared" si="23"/>
        <v>5026.4732710644494</v>
      </c>
    </row>
    <row r="375" spans="2:8">
      <c r="B375" s="152">
        <f t="shared" si="19"/>
        <v>0</v>
      </c>
      <c r="D375" s="30">
        <v>0</v>
      </c>
      <c r="E375" s="30">
        <f t="shared" si="20"/>
        <v>8949.9322069047957</v>
      </c>
      <c r="F375" s="30">
        <f t="shared" si="21"/>
        <v>8478.8831433834912</v>
      </c>
      <c r="G375" s="30">
        <f t="shared" si="22"/>
        <v>8007.8340798621857</v>
      </c>
      <c r="H375" s="30">
        <f t="shared" si="23"/>
        <v>7536.7850163408802</v>
      </c>
    </row>
    <row r="376" spans="2:8">
      <c r="B376" s="152">
        <f t="shared" si="19"/>
        <v>0</v>
      </c>
      <c r="D376" s="30">
        <v>0</v>
      </c>
      <c r="E376" s="30">
        <f t="shared" si="20"/>
        <v>566498.03709109151</v>
      </c>
      <c r="F376" s="30">
        <f t="shared" si="21"/>
        <v>560775.83469623199</v>
      </c>
      <c r="G376" s="30">
        <f t="shared" si="22"/>
        <v>555053.63230137248</v>
      </c>
      <c r="H376" s="30">
        <f t="shared" si="23"/>
        <v>549331.42990651296</v>
      </c>
    </row>
    <row r="377" spans="2:8">
      <c r="B377" s="152">
        <f t="shared" si="19"/>
        <v>0</v>
      </c>
      <c r="D377" s="30">
        <v>0</v>
      </c>
      <c r="E377" s="30">
        <f t="shared" si="20"/>
        <v>100468.68401333925</v>
      </c>
      <c r="F377" s="30">
        <f t="shared" si="21"/>
        <v>99453.848821285326</v>
      </c>
      <c r="G377" s="30">
        <f t="shared" si="22"/>
        <v>98439.013629231398</v>
      </c>
      <c r="H377" s="30">
        <f t="shared" si="23"/>
        <v>97424.17843717747</v>
      </c>
    </row>
    <row r="378" spans="2:8">
      <c r="B378" s="152">
        <f t="shared" si="19"/>
        <v>0</v>
      </c>
      <c r="D378" s="30">
        <v>0</v>
      </c>
      <c r="E378" s="30">
        <f t="shared" si="20"/>
        <v>130806.63459587346</v>
      </c>
      <c r="F378" s="30">
        <f t="shared" si="21"/>
        <v>116272.56408522086</v>
      </c>
      <c r="G378" s="30">
        <f t="shared" si="22"/>
        <v>101738.49357456825</v>
      </c>
      <c r="H378" s="30">
        <f t="shared" si="23"/>
        <v>87204.423063915645</v>
      </c>
    </row>
    <row r="379" spans="2:8">
      <c r="B379" s="152">
        <f t="shared" si="19"/>
        <v>0</v>
      </c>
      <c r="D379" s="30">
        <v>0</v>
      </c>
      <c r="E379" s="30">
        <f t="shared" si="20"/>
        <v>629707.74313961307</v>
      </c>
      <c r="F379" s="30">
        <f t="shared" si="21"/>
        <v>603469.92050879588</v>
      </c>
      <c r="G379" s="30">
        <f t="shared" si="22"/>
        <v>577232.0978779787</v>
      </c>
      <c r="H379" s="30">
        <f t="shared" si="23"/>
        <v>550994.27524716151</v>
      </c>
    </row>
    <row r="380" spans="2:8">
      <c r="B380" s="152">
        <f t="shared" si="19"/>
        <v>0</v>
      </c>
      <c r="D380" s="30">
        <v>0</v>
      </c>
      <c r="E380" s="30">
        <f t="shared" si="20"/>
        <v>477972.43</v>
      </c>
      <c r="F380" s="30">
        <f t="shared" si="21"/>
        <v>474764.56134228187</v>
      </c>
      <c r="G380" s="30">
        <f t="shared" si="22"/>
        <v>471556.69268456375</v>
      </c>
      <c r="H380" s="30">
        <f t="shared" si="23"/>
        <v>468348.82402684563</v>
      </c>
    </row>
    <row r="381" spans="2:8">
      <c r="B381" s="152">
        <f t="shared" si="19"/>
        <v>0</v>
      </c>
      <c r="D381" s="30">
        <v>0</v>
      </c>
      <c r="E381" s="30">
        <f t="shared" si="20"/>
        <v>33272.871952976609</v>
      </c>
      <c r="F381" s="30">
        <f t="shared" si="21"/>
        <v>32936.78233728998</v>
      </c>
      <c r="G381" s="30">
        <f t="shared" si="22"/>
        <v>32600.692721603347</v>
      </c>
      <c r="H381" s="30">
        <f t="shared" si="23"/>
        <v>32264.603105916714</v>
      </c>
    </row>
    <row r="382" spans="2:8">
      <c r="B382" s="152">
        <f t="shared" si="19"/>
        <v>0</v>
      </c>
      <c r="D382" s="30">
        <v>0</v>
      </c>
      <c r="E382" s="30">
        <f t="shared" si="20"/>
        <v>256285.79372662137</v>
      </c>
      <c r="F382" s="30">
        <f t="shared" si="21"/>
        <v>253041.66975539832</v>
      </c>
      <c r="G382" s="30">
        <f t="shared" si="22"/>
        <v>249797.54578417528</v>
      </c>
      <c r="H382" s="30">
        <f t="shared" si="23"/>
        <v>246553.42181295223</v>
      </c>
    </row>
    <row r="383" spans="2:8">
      <c r="B383" s="152">
        <f t="shared" si="19"/>
        <v>0</v>
      </c>
      <c r="D383" s="30">
        <v>0</v>
      </c>
      <c r="E383" s="30">
        <f t="shared" si="20"/>
        <v>65908.294948478302</v>
      </c>
      <c r="F383" s="30">
        <f t="shared" si="21"/>
        <v>64791.205203588841</v>
      </c>
      <c r="G383" s="30">
        <f t="shared" si="22"/>
        <v>63674.11545869938</v>
      </c>
      <c r="H383" s="30">
        <f t="shared" si="23"/>
        <v>62557.025713809919</v>
      </c>
    </row>
    <row r="384" spans="2:8">
      <c r="B384" s="152">
        <f t="shared" si="19"/>
        <v>0</v>
      </c>
      <c r="D384" s="30">
        <v>0</v>
      </c>
      <c r="E384" s="30">
        <f t="shared" si="20"/>
        <v>28977.912665076674</v>
      </c>
      <c r="F384" s="30">
        <f t="shared" si="21"/>
        <v>27978.674297315411</v>
      </c>
      <c r="G384" s="30">
        <f t="shared" si="22"/>
        <v>26979.435929554147</v>
      </c>
      <c r="H384" s="30">
        <f t="shared" si="23"/>
        <v>25980.197561792884</v>
      </c>
    </row>
    <row r="385" spans="2:8">
      <c r="B385" s="152">
        <f t="shared" si="19"/>
        <v>0</v>
      </c>
      <c r="D385" s="30">
        <v>0</v>
      </c>
      <c r="E385" s="30">
        <f t="shared" si="20"/>
        <v>28977.912665076674</v>
      </c>
      <c r="F385" s="30">
        <f t="shared" si="21"/>
        <v>27978.674297315411</v>
      </c>
      <c r="G385" s="30">
        <f t="shared" si="22"/>
        <v>26979.435929554147</v>
      </c>
      <c r="H385" s="30">
        <f t="shared" si="23"/>
        <v>25980.197561792884</v>
      </c>
    </row>
    <row r="386" spans="2:8">
      <c r="B386" s="152">
        <f t="shared" si="19"/>
        <v>0</v>
      </c>
      <c r="D386" s="30">
        <v>0</v>
      </c>
      <c r="E386" s="30">
        <f t="shared" si="20"/>
        <v>82939.368749999994</v>
      </c>
      <c r="F386" s="30">
        <f t="shared" si="21"/>
        <v>81889.503322784803</v>
      </c>
      <c r="G386" s="30">
        <f t="shared" si="22"/>
        <v>80839.637895569613</v>
      </c>
      <c r="H386" s="30">
        <f t="shared" si="23"/>
        <v>79789.772468354422</v>
      </c>
    </row>
    <row r="387" spans="2:8">
      <c r="B387" s="152">
        <f t="shared" si="19"/>
        <v>0</v>
      </c>
      <c r="D387" s="30">
        <v>0</v>
      </c>
      <c r="E387" s="30">
        <f t="shared" si="20"/>
        <v>98584.169500000004</v>
      </c>
      <c r="F387" s="30">
        <f t="shared" si="21"/>
        <v>87630.372888888887</v>
      </c>
      <c r="G387" s="30">
        <f t="shared" si="22"/>
        <v>76676.576277777771</v>
      </c>
      <c r="H387" s="30">
        <f t="shared" si="23"/>
        <v>65722.779666666655</v>
      </c>
    </row>
    <row r="388" spans="2:8">
      <c r="B388" s="2" t="str">
        <f t="shared" ref="B388:B389" si="24">B202</f>
        <v>Carndo Year 4 Reduction</v>
      </c>
      <c r="D388" s="30">
        <v>0</v>
      </c>
      <c r="E388" s="30">
        <f t="shared" si="20"/>
        <v>0</v>
      </c>
      <c r="F388" s="30">
        <f t="shared" si="21"/>
        <v>0</v>
      </c>
      <c r="G388" s="30">
        <f t="shared" si="22"/>
        <v>0</v>
      </c>
      <c r="H388" s="30">
        <f t="shared" si="23"/>
        <v>-2050317.9922552318</v>
      </c>
    </row>
    <row r="389" spans="2:8">
      <c r="B389" s="2" t="str">
        <f t="shared" si="24"/>
        <v>Carndo Year 5 Reduction</v>
      </c>
      <c r="D389" s="30">
        <v>0</v>
      </c>
      <c r="E389" s="30">
        <f t="shared" si="20"/>
        <v>0</v>
      </c>
      <c r="F389" s="30">
        <f t="shared" si="21"/>
        <v>0</v>
      </c>
      <c r="G389" s="30">
        <f t="shared" si="22"/>
        <v>0</v>
      </c>
      <c r="H389" s="30">
        <f t="shared" si="23"/>
        <v>0</v>
      </c>
    </row>
    <row r="390" spans="2:8">
      <c r="B390" s="2" t="s">
        <v>51</v>
      </c>
      <c r="D390" s="48">
        <f>SUM(D207:D389)</f>
        <v>0</v>
      </c>
      <c r="E390" s="48">
        <f>SUM(E207:E389)</f>
        <v>34183548.811695553</v>
      </c>
      <c r="F390" s="48">
        <f>SUM(F207:F389)</f>
        <v>59858646.744307436</v>
      </c>
      <c r="G390" s="48">
        <f>SUM(G207:G389)</f>
        <v>82322576.753921553</v>
      </c>
      <c r="H390" s="48">
        <f>SUM(H207:H389)</f>
        <v>108590952.1634782</v>
      </c>
    </row>
    <row r="391" spans="2:8">
      <c r="D391" s="30"/>
      <c r="E391" s="30"/>
      <c r="F391" s="30"/>
      <c r="G391" s="30"/>
      <c r="H391" s="30"/>
    </row>
    <row r="392" spans="2:8" ht="15.75">
      <c r="B392" s="10" t="s">
        <v>27</v>
      </c>
      <c r="D392" s="30"/>
      <c r="E392" s="30"/>
      <c r="F392" s="30"/>
      <c r="G392" s="30"/>
      <c r="H392" s="30"/>
    </row>
    <row r="393" spans="2:8">
      <c r="B393" s="152">
        <f>B207</f>
        <v>0</v>
      </c>
      <c r="D393" s="61">
        <f>'13. Water - Capex RAB'!D393</f>
        <v>0</v>
      </c>
      <c r="E393" s="61">
        <f>'13. Water - Capex RAB'!E393</f>
        <v>0</v>
      </c>
      <c r="F393" s="61">
        <f>'13. Water - Capex RAB'!F393</f>
        <v>0</v>
      </c>
      <c r="G393" s="61">
        <f>'13. Water - Capex RAB'!G393</f>
        <v>0</v>
      </c>
      <c r="H393" s="61">
        <f>'13. Water - Capex RAB'!H393</f>
        <v>0</v>
      </c>
    </row>
    <row r="394" spans="2:8">
      <c r="B394" s="152">
        <f t="shared" ref="B394:B457" si="25">B208</f>
        <v>0</v>
      </c>
      <c r="D394" s="61">
        <f>'13. Water - Capex RAB'!D394</f>
        <v>0</v>
      </c>
      <c r="E394" s="61">
        <f>'13. Water - Capex RAB'!E394</f>
        <v>0</v>
      </c>
      <c r="F394" s="61">
        <f>'13. Water - Capex RAB'!F394</f>
        <v>0</v>
      </c>
      <c r="G394" s="61">
        <f>'13. Water - Capex RAB'!G394</f>
        <v>0</v>
      </c>
      <c r="H394" s="61">
        <f>'13. Water - Capex RAB'!H394</f>
        <v>0</v>
      </c>
    </row>
    <row r="395" spans="2:8">
      <c r="B395" s="152">
        <f t="shared" si="25"/>
        <v>0</v>
      </c>
      <c r="D395" s="61">
        <f>'13. Water - Capex RAB'!D395</f>
        <v>0</v>
      </c>
      <c r="E395" s="61">
        <f>'13. Water - Capex RAB'!E395</f>
        <v>0</v>
      </c>
      <c r="F395" s="61">
        <f>'13. Water - Capex RAB'!F395</f>
        <v>0</v>
      </c>
      <c r="G395" s="61">
        <f>'13. Water - Capex RAB'!G395</f>
        <v>0</v>
      </c>
      <c r="H395" s="61">
        <f>'13. Water - Capex RAB'!H395</f>
        <v>0</v>
      </c>
    </row>
    <row r="396" spans="2:8">
      <c r="B396" s="152">
        <f t="shared" si="25"/>
        <v>0</v>
      </c>
      <c r="D396" s="61">
        <f>'13. Water - Capex RAB'!D396</f>
        <v>0</v>
      </c>
      <c r="E396" s="61">
        <f>'13. Water - Capex RAB'!E396</f>
        <v>0</v>
      </c>
      <c r="F396" s="61">
        <f>'13. Water - Capex RAB'!F396</f>
        <v>0</v>
      </c>
      <c r="G396" s="61">
        <f>'13. Water - Capex RAB'!G396</f>
        <v>0</v>
      </c>
      <c r="H396" s="61">
        <f>'13. Water - Capex RAB'!H396</f>
        <v>0</v>
      </c>
    </row>
    <row r="397" spans="2:8">
      <c r="B397" s="152">
        <f t="shared" si="25"/>
        <v>0</v>
      </c>
      <c r="D397" s="61">
        <f>'13. Water - Capex RAB'!D397</f>
        <v>0</v>
      </c>
      <c r="E397" s="61">
        <f>'13. Water - Capex RAB'!E397</f>
        <v>0</v>
      </c>
      <c r="F397" s="61">
        <f>'13. Water - Capex RAB'!F397</f>
        <v>0</v>
      </c>
      <c r="G397" s="61">
        <f>'13. Water - Capex RAB'!G397</f>
        <v>0</v>
      </c>
      <c r="H397" s="61">
        <f>'13. Water - Capex RAB'!H397</f>
        <v>0</v>
      </c>
    </row>
    <row r="398" spans="2:8">
      <c r="B398" s="152">
        <f t="shared" si="25"/>
        <v>0</v>
      </c>
      <c r="D398" s="61">
        <f>'13. Water - Capex RAB'!D398</f>
        <v>0</v>
      </c>
      <c r="E398" s="61">
        <f>'13. Water - Capex RAB'!E398</f>
        <v>0</v>
      </c>
      <c r="F398" s="61">
        <f>'13. Water - Capex RAB'!F398</f>
        <v>0</v>
      </c>
      <c r="G398" s="61">
        <f>'13. Water - Capex RAB'!G398</f>
        <v>0</v>
      </c>
      <c r="H398" s="61">
        <f>'13. Water - Capex RAB'!H398</f>
        <v>0</v>
      </c>
    </row>
    <row r="399" spans="2:8">
      <c r="B399" s="152">
        <f t="shared" si="25"/>
        <v>0</v>
      </c>
      <c r="D399" s="61">
        <f>'13. Water - Capex RAB'!D399</f>
        <v>0</v>
      </c>
      <c r="E399" s="61">
        <f>'13. Water - Capex RAB'!E399</f>
        <v>0</v>
      </c>
      <c r="F399" s="61">
        <f>'13. Water - Capex RAB'!F399</f>
        <v>0</v>
      </c>
      <c r="G399" s="61">
        <f>'13. Water - Capex RAB'!G399</f>
        <v>0</v>
      </c>
      <c r="H399" s="61">
        <f>'13. Water - Capex RAB'!H399</f>
        <v>0</v>
      </c>
    </row>
    <row r="400" spans="2:8">
      <c r="B400" s="152">
        <f t="shared" si="25"/>
        <v>0</v>
      </c>
      <c r="D400" s="61">
        <f>'13. Water - Capex RAB'!D400</f>
        <v>0</v>
      </c>
      <c r="E400" s="61">
        <f>'13. Water - Capex RAB'!E400</f>
        <v>0</v>
      </c>
      <c r="F400" s="61">
        <f>'13. Water - Capex RAB'!F400</f>
        <v>0</v>
      </c>
      <c r="G400" s="61">
        <f>'13. Water - Capex RAB'!G400</f>
        <v>0</v>
      </c>
      <c r="H400" s="61">
        <f>'13. Water - Capex RAB'!H400</f>
        <v>0</v>
      </c>
    </row>
    <row r="401" spans="2:8">
      <c r="B401" s="152">
        <f t="shared" si="25"/>
        <v>0</v>
      </c>
      <c r="D401" s="61">
        <f>'13. Water - Capex RAB'!D401</f>
        <v>0</v>
      </c>
      <c r="E401" s="61">
        <f>'13. Water - Capex RAB'!E401</f>
        <v>0</v>
      </c>
      <c r="F401" s="61">
        <f>'13. Water - Capex RAB'!F401</f>
        <v>0</v>
      </c>
      <c r="G401" s="61">
        <f>'13. Water - Capex RAB'!G401</f>
        <v>0</v>
      </c>
      <c r="H401" s="61">
        <f>'13. Water - Capex RAB'!H401</f>
        <v>0</v>
      </c>
    </row>
    <row r="402" spans="2:8">
      <c r="B402" s="152">
        <f t="shared" si="25"/>
        <v>0</v>
      </c>
      <c r="D402" s="61">
        <f>'13. Water - Capex RAB'!D402</f>
        <v>0</v>
      </c>
      <c r="E402" s="61">
        <f>'13. Water - Capex RAB'!E402</f>
        <v>0</v>
      </c>
      <c r="F402" s="61">
        <f>'13. Water - Capex RAB'!F402</f>
        <v>0</v>
      </c>
      <c r="G402" s="61">
        <f>'13. Water - Capex RAB'!G402</f>
        <v>0</v>
      </c>
      <c r="H402" s="61">
        <f>'13. Water - Capex RAB'!H402</f>
        <v>0</v>
      </c>
    </row>
    <row r="403" spans="2:8">
      <c r="B403" s="152">
        <f t="shared" si="25"/>
        <v>0</v>
      </c>
      <c r="D403" s="61">
        <f>'13. Water - Capex RAB'!D403</f>
        <v>0</v>
      </c>
      <c r="E403" s="61">
        <f>'13. Water - Capex RAB'!E403</f>
        <v>0</v>
      </c>
      <c r="F403" s="61">
        <f>'13. Water - Capex RAB'!F403</f>
        <v>0</v>
      </c>
      <c r="G403" s="61">
        <f>'13. Water - Capex RAB'!G403</f>
        <v>0</v>
      </c>
      <c r="H403" s="61">
        <f>'13. Water - Capex RAB'!H403</f>
        <v>0</v>
      </c>
    </row>
    <row r="404" spans="2:8">
      <c r="B404" s="152">
        <f t="shared" si="25"/>
        <v>0</v>
      </c>
      <c r="D404" s="61">
        <f>'13. Water - Capex RAB'!D404</f>
        <v>0</v>
      </c>
      <c r="E404" s="61">
        <f>'13. Water - Capex RAB'!E404</f>
        <v>0</v>
      </c>
      <c r="F404" s="61">
        <f>'13. Water - Capex RAB'!F404</f>
        <v>0</v>
      </c>
      <c r="G404" s="61">
        <f>'13. Water - Capex RAB'!G404</f>
        <v>0</v>
      </c>
      <c r="H404" s="61">
        <f>'13. Water - Capex RAB'!H404</f>
        <v>0</v>
      </c>
    </row>
    <row r="405" spans="2:8">
      <c r="B405" s="152">
        <f t="shared" si="25"/>
        <v>0</v>
      </c>
      <c r="D405" s="61">
        <f>'13. Water - Capex RAB'!D405</f>
        <v>0</v>
      </c>
      <c r="E405" s="61">
        <f>'13. Water - Capex RAB'!E405</f>
        <v>0</v>
      </c>
      <c r="F405" s="61">
        <f>'13. Water - Capex RAB'!F405</f>
        <v>0</v>
      </c>
      <c r="G405" s="61">
        <f>'13. Water - Capex RAB'!G405</f>
        <v>0</v>
      </c>
      <c r="H405" s="61">
        <f>'13. Water - Capex RAB'!H405</f>
        <v>0</v>
      </c>
    </row>
    <row r="406" spans="2:8">
      <c r="B406" s="152">
        <f t="shared" si="25"/>
        <v>0</v>
      </c>
      <c r="D406" s="61">
        <f>'13. Water - Capex RAB'!D406</f>
        <v>0</v>
      </c>
      <c r="E406" s="61">
        <f>'13. Water - Capex RAB'!E406</f>
        <v>0</v>
      </c>
      <c r="F406" s="61">
        <f>'13. Water - Capex RAB'!F406</f>
        <v>0</v>
      </c>
      <c r="G406" s="61">
        <f>'13. Water - Capex RAB'!G406</f>
        <v>0</v>
      </c>
      <c r="H406" s="61">
        <f>'13. Water - Capex RAB'!H406</f>
        <v>0</v>
      </c>
    </row>
    <row r="407" spans="2:8">
      <c r="B407" s="152">
        <f t="shared" si="25"/>
        <v>0</v>
      </c>
      <c r="D407" s="61">
        <f>'13. Water - Capex RAB'!D407</f>
        <v>0</v>
      </c>
      <c r="E407" s="61">
        <f>'13. Water - Capex RAB'!E407</f>
        <v>0</v>
      </c>
      <c r="F407" s="61">
        <f>'13. Water - Capex RAB'!F407</f>
        <v>0</v>
      </c>
      <c r="G407" s="61">
        <f>'13. Water - Capex RAB'!G407</f>
        <v>0</v>
      </c>
      <c r="H407" s="61">
        <f>'13. Water - Capex RAB'!H407</f>
        <v>0</v>
      </c>
    </row>
    <row r="408" spans="2:8">
      <c r="B408" s="152">
        <f t="shared" si="25"/>
        <v>0</v>
      </c>
      <c r="D408" s="61">
        <f>'13. Water - Capex RAB'!D408</f>
        <v>0</v>
      </c>
      <c r="E408" s="61">
        <f>'13. Water - Capex RAB'!E408</f>
        <v>0</v>
      </c>
      <c r="F408" s="61">
        <f>'13. Water - Capex RAB'!F408</f>
        <v>0</v>
      </c>
      <c r="G408" s="61">
        <f>'13. Water - Capex RAB'!G408</f>
        <v>0</v>
      </c>
      <c r="H408" s="61">
        <f>'13. Water - Capex RAB'!H408</f>
        <v>0</v>
      </c>
    </row>
    <row r="409" spans="2:8">
      <c r="B409" s="152">
        <f t="shared" si="25"/>
        <v>0</v>
      </c>
      <c r="D409" s="61">
        <f>'13. Water - Capex RAB'!D409</f>
        <v>0</v>
      </c>
      <c r="E409" s="61">
        <f>'13. Water - Capex RAB'!E409</f>
        <v>0</v>
      </c>
      <c r="F409" s="61">
        <f>'13. Water - Capex RAB'!F409</f>
        <v>0</v>
      </c>
      <c r="G409" s="61">
        <f>'13. Water - Capex RAB'!G409</f>
        <v>0</v>
      </c>
      <c r="H409" s="61">
        <f>'13. Water - Capex RAB'!H409</f>
        <v>0</v>
      </c>
    </row>
    <row r="410" spans="2:8">
      <c r="B410" s="152">
        <f t="shared" si="25"/>
        <v>0</v>
      </c>
      <c r="D410" s="61">
        <f>'13. Water - Capex RAB'!D410</f>
        <v>0</v>
      </c>
      <c r="E410" s="61">
        <f>'13. Water - Capex RAB'!E410</f>
        <v>0</v>
      </c>
      <c r="F410" s="61">
        <f>'13. Water - Capex RAB'!F410</f>
        <v>0</v>
      </c>
      <c r="G410" s="61">
        <f>'13. Water - Capex RAB'!G410</f>
        <v>0</v>
      </c>
      <c r="H410" s="61">
        <f>'13. Water - Capex RAB'!H410</f>
        <v>0</v>
      </c>
    </row>
    <row r="411" spans="2:8">
      <c r="B411" s="152">
        <f t="shared" si="25"/>
        <v>0</v>
      </c>
      <c r="D411" s="61">
        <f>'13. Water - Capex RAB'!D411</f>
        <v>0</v>
      </c>
      <c r="E411" s="61">
        <f>'13. Water - Capex RAB'!E411</f>
        <v>0</v>
      </c>
      <c r="F411" s="61">
        <f>'13. Water - Capex RAB'!F411</f>
        <v>0</v>
      </c>
      <c r="G411" s="61">
        <f>'13. Water - Capex RAB'!G411</f>
        <v>0</v>
      </c>
      <c r="H411" s="61">
        <f>'13. Water - Capex RAB'!H411</f>
        <v>0</v>
      </c>
    </row>
    <row r="412" spans="2:8">
      <c r="B412" s="152">
        <f t="shared" si="25"/>
        <v>0</v>
      </c>
      <c r="D412" s="61">
        <f>'13. Water - Capex RAB'!D412</f>
        <v>0</v>
      </c>
      <c r="E412" s="61">
        <f>'13. Water - Capex RAB'!E412</f>
        <v>0</v>
      </c>
      <c r="F412" s="61">
        <f>'13. Water - Capex RAB'!F412</f>
        <v>0</v>
      </c>
      <c r="G412" s="61">
        <f>'13. Water - Capex RAB'!G412</f>
        <v>0</v>
      </c>
      <c r="H412" s="61">
        <f>'13. Water - Capex RAB'!H412</f>
        <v>0</v>
      </c>
    </row>
    <row r="413" spans="2:8">
      <c r="B413" s="152">
        <f t="shared" si="25"/>
        <v>0</v>
      </c>
      <c r="D413" s="61">
        <f>'13. Water - Capex RAB'!D413</f>
        <v>0</v>
      </c>
      <c r="E413" s="61">
        <f>'13. Water - Capex RAB'!E413</f>
        <v>0</v>
      </c>
      <c r="F413" s="61">
        <f>'13. Water - Capex RAB'!F413</f>
        <v>0</v>
      </c>
      <c r="G413" s="61">
        <f>'13. Water - Capex RAB'!G413</f>
        <v>0</v>
      </c>
      <c r="H413" s="61">
        <f>'13. Water - Capex RAB'!H413</f>
        <v>0</v>
      </c>
    </row>
    <row r="414" spans="2:8">
      <c r="B414" s="152">
        <f t="shared" si="25"/>
        <v>0</v>
      </c>
      <c r="D414" s="61">
        <f>'13. Water - Capex RAB'!D414</f>
        <v>0</v>
      </c>
      <c r="E414" s="61">
        <f>'13. Water - Capex RAB'!E414</f>
        <v>0</v>
      </c>
      <c r="F414" s="61">
        <f>'13. Water - Capex RAB'!F414</f>
        <v>0</v>
      </c>
      <c r="G414" s="61">
        <f>'13. Water - Capex RAB'!G414</f>
        <v>0</v>
      </c>
      <c r="H414" s="61">
        <f>'13. Water - Capex RAB'!H414</f>
        <v>0</v>
      </c>
    </row>
    <row r="415" spans="2:8">
      <c r="B415" s="152">
        <f t="shared" si="25"/>
        <v>0</v>
      </c>
      <c r="D415" s="61">
        <f>'13. Water - Capex RAB'!D415</f>
        <v>0</v>
      </c>
      <c r="E415" s="61">
        <f>'13. Water - Capex RAB'!E415</f>
        <v>0</v>
      </c>
      <c r="F415" s="61">
        <f>'13. Water - Capex RAB'!F415</f>
        <v>0</v>
      </c>
      <c r="G415" s="61">
        <f>'13. Water - Capex RAB'!G415</f>
        <v>0</v>
      </c>
      <c r="H415" s="61">
        <f>'13. Water - Capex RAB'!H415</f>
        <v>0</v>
      </c>
    </row>
    <row r="416" spans="2:8">
      <c r="B416" s="152">
        <f t="shared" si="25"/>
        <v>0</v>
      </c>
      <c r="D416" s="61">
        <f>'13. Water - Capex RAB'!D416</f>
        <v>0</v>
      </c>
      <c r="E416" s="61">
        <f>'13. Water - Capex RAB'!E416</f>
        <v>0</v>
      </c>
      <c r="F416" s="61">
        <f>'13. Water - Capex RAB'!F416</f>
        <v>0</v>
      </c>
      <c r="G416" s="61">
        <f>'13. Water - Capex RAB'!G416</f>
        <v>0</v>
      </c>
      <c r="H416" s="61">
        <f>'13. Water - Capex RAB'!H416</f>
        <v>0</v>
      </c>
    </row>
    <row r="417" spans="2:8">
      <c r="B417" s="152">
        <f t="shared" si="25"/>
        <v>0</v>
      </c>
      <c r="D417" s="61">
        <f>'13. Water - Capex RAB'!D417</f>
        <v>0</v>
      </c>
      <c r="E417" s="61">
        <f>'13. Water - Capex RAB'!E417</f>
        <v>0</v>
      </c>
      <c r="F417" s="61">
        <f>'13. Water - Capex RAB'!F417</f>
        <v>0</v>
      </c>
      <c r="G417" s="61">
        <f>'13. Water - Capex RAB'!G417</f>
        <v>0</v>
      </c>
      <c r="H417" s="61">
        <f>'13. Water - Capex RAB'!H417</f>
        <v>0</v>
      </c>
    </row>
    <row r="418" spans="2:8">
      <c r="B418" s="152">
        <f t="shared" si="25"/>
        <v>0</v>
      </c>
      <c r="D418" s="61">
        <f>'13. Water - Capex RAB'!D418</f>
        <v>0</v>
      </c>
      <c r="E418" s="61">
        <f>'13. Water - Capex RAB'!E418</f>
        <v>0</v>
      </c>
      <c r="F418" s="61">
        <f>'13. Water - Capex RAB'!F418</f>
        <v>0</v>
      </c>
      <c r="G418" s="61">
        <f>'13. Water - Capex RAB'!G418</f>
        <v>0</v>
      </c>
      <c r="H418" s="61">
        <f>'13. Water - Capex RAB'!H418</f>
        <v>0</v>
      </c>
    </row>
    <row r="419" spans="2:8">
      <c r="B419" s="152">
        <f t="shared" si="25"/>
        <v>0</v>
      </c>
      <c r="D419" s="61">
        <f>'13. Water - Capex RAB'!D419</f>
        <v>0</v>
      </c>
      <c r="E419" s="61">
        <f>'13. Water - Capex RAB'!E419</f>
        <v>0</v>
      </c>
      <c r="F419" s="61">
        <f>'13. Water - Capex RAB'!F419</f>
        <v>0</v>
      </c>
      <c r="G419" s="61">
        <f>'13. Water - Capex RAB'!G419</f>
        <v>0</v>
      </c>
      <c r="H419" s="61">
        <f>'13. Water - Capex RAB'!H419</f>
        <v>0</v>
      </c>
    </row>
    <row r="420" spans="2:8">
      <c r="B420" s="152">
        <f t="shared" si="25"/>
        <v>0</v>
      </c>
      <c r="D420" s="61">
        <f>'13. Water - Capex RAB'!D420</f>
        <v>0</v>
      </c>
      <c r="E420" s="61">
        <f>'13. Water - Capex RAB'!E420</f>
        <v>0</v>
      </c>
      <c r="F420" s="61">
        <f>'13. Water - Capex RAB'!F420</f>
        <v>0</v>
      </c>
      <c r="G420" s="61">
        <f>'13. Water - Capex RAB'!G420</f>
        <v>0</v>
      </c>
      <c r="H420" s="61">
        <f>'13. Water - Capex RAB'!H420</f>
        <v>0</v>
      </c>
    </row>
    <row r="421" spans="2:8">
      <c r="B421" s="152">
        <f t="shared" si="25"/>
        <v>0</v>
      </c>
      <c r="D421" s="61">
        <f>'13. Water - Capex RAB'!D421</f>
        <v>0</v>
      </c>
      <c r="E421" s="61">
        <f>'13. Water - Capex RAB'!E421</f>
        <v>0</v>
      </c>
      <c r="F421" s="61">
        <f>'13. Water - Capex RAB'!F421</f>
        <v>0</v>
      </c>
      <c r="G421" s="61">
        <f>'13. Water - Capex RAB'!G421</f>
        <v>0</v>
      </c>
      <c r="H421" s="61">
        <f>'13. Water - Capex RAB'!H421</f>
        <v>0</v>
      </c>
    </row>
    <row r="422" spans="2:8">
      <c r="B422" s="152">
        <f t="shared" si="25"/>
        <v>0</v>
      </c>
      <c r="D422" s="61">
        <f>'13. Water - Capex RAB'!D422</f>
        <v>0</v>
      </c>
      <c r="E422" s="61">
        <f>'13. Water - Capex RAB'!E422</f>
        <v>0</v>
      </c>
      <c r="F422" s="61">
        <f>'13. Water - Capex RAB'!F422</f>
        <v>0</v>
      </c>
      <c r="G422" s="61">
        <f>'13. Water - Capex RAB'!G422</f>
        <v>0</v>
      </c>
      <c r="H422" s="61">
        <f>'13. Water - Capex RAB'!H422</f>
        <v>0</v>
      </c>
    </row>
    <row r="423" spans="2:8">
      <c r="B423" s="152">
        <f t="shared" si="25"/>
        <v>0</v>
      </c>
      <c r="D423" s="61">
        <f>'13. Water - Capex RAB'!D423</f>
        <v>0</v>
      </c>
      <c r="E423" s="61">
        <f>'13. Water - Capex RAB'!E423</f>
        <v>0</v>
      </c>
      <c r="F423" s="61">
        <f>'13. Water - Capex RAB'!F423</f>
        <v>0</v>
      </c>
      <c r="G423" s="61">
        <f>'13. Water - Capex RAB'!G423</f>
        <v>0</v>
      </c>
      <c r="H423" s="61">
        <f>'13. Water - Capex RAB'!H423</f>
        <v>0</v>
      </c>
    </row>
    <row r="424" spans="2:8">
      <c r="B424" s="152">
        <f t="shared" si="25"/>
        <v>0</v>
      </c>
      <c r="D424" s="61">
        <f>'13. Water - Capex RAB'!D424</f>
        <v>0</v>
      </c>
      <c r="E424" s="61">
        <f>'13. Water - Capex RAB'!E424</f>
        <v>0</v>
      </c>
      <c r="F424" s="61">
        <f>'13. Water - Capex RAB'!F424</f>
        <v>0</v>
      </c>
      <c r="G424" s="61">
        <f>'13. Water - Capex RAB'!G424</f>
        <v>0</v>
      </c>
      <c r="H424" s="61">
        <f>'13. Water - Capex RAB'!H424</f>
        <v>0</v>
      </c>
    </row>
    <row r="425" spans="2:8">
      <c r="B425" s="152">
        <f t="shared" si="25"/>
        <v>0</v>
      </c>
      <c r="D425" s="61">
        <f>'13. Water - Capex RAB'!D425</f>
        <v>0</v>
      </c>
      <c r="E425" s="61">
        <f>'13. Water - Capex RAB'!E425</f>
        <v>0</v>
      </c>
      <c r="F425" s="61">
        <f>'13. Water - Capex RAB'!F425</f>
        <v>0</v>
      </c>
      <c r="G425" s="61">
        <f>'13. Water - Capex RAB'!G425</f>
        <v>0</v>
      </c>
      <c r="H425" s="61">
        <f>'13. Water - Capex RAB'!H425</f>
        <v>0</v>
      </c>
    </row>
    <row r="426" spans="2:8">
      <c r="B426" s="152">
        <f t="shared" si="25"/>
        <v>0</v>
      </c>
      <c r="D426" s="61">
        <f>'13. Water - Capex RAB'!D426</f>
        <v>0</v>
      </c>
      <c r="E426" s="61">
        <f>'13. Water - Capex RAB'!E426</f>
        <v>0</v>
      </c>
      <c r="F426" s="61">
        <f>'13. Water - Capex RAB'!F426</f>
        <v>0</v>
      </c>
      <c r="G426" s="61">
        <f>'13. Water - Capex RAB'!G426</f>
        <v>0</v>
      </c>
      <c r="H426" s="61">
        <f>'13. Water - Capex RAB'!H426</f>
        <v>0</v>
      </c>
    </row>
    <row r="427" spans="2:8">
      <c r="B427" s="152">
        <f t="shared" si="25"/>
        <v>0</v>
      </c>
      <c r="D427" s="61">
        <f>'13. Water - Capex RAB'!D427</f>
        <v>0</v>
      </c>
      <c r="E427" s="61">
        <f>'13. Water - Capex RAB'!E427</f>
        <v>0</v>
      </c>
      <c r="F427" s="61">
        <f>'13. Water - Capex RAB'!F427</f>
        <v>0</v>
      </c>
      <c r="G427" s="61">
        <f>'13. Water - Capex RAB'!G427</f>
        <v>0</v>
      </c>
      <c r="H427" s="61">
        <f>'13. Water - Capex RAB'!H427</f>
        <v>0</v>
      </c>
    </row>
    <row r="428" spans="2:8">
      <c r="B428" s="152">
        <f t="shared" si="25"/>
        <v>0</v>
      </c>
      <c r="D428" s="61">
        <f>'13. Water - Capex RAB'!D428</f>
        <v>0</v>
      </c>
      <c r="E428" s="61">
        <f>'13. Water - Capex RAB'!E428</f>
        <v>0</v>
      </c>
      <c r="F428" s="61">
        <f>'13. Water - Capex RAB'!F428</f>
        <v>0</v>
      </c>
      <c r="G428" s="61">
        <f>'13. Water - Capex RAB'!G428</f>
        <v>0</v>
      </c>
      <c r="H428" s="61">
        <f>'13. Water - Capex RAB'!H428</f>
        <v>0</v>
      </c>
    </row>
    <row r="429" spans="2:8">
      <c r="B429" s="152">
        <f t="shared" si="25"/>
        <v>0</v>
      </c>
      <c r="D429" s="61">
        <f>'13. Water - Capex RAB'!D429</f>
        <v>0</v>
      </c>
      <c r="E429" s="61">
        <f>'13. Water - Capex RAB'!E429</f>
        <v>0</v>
      </c>
      <c r="F429" s="61">
        <f>'13. Water - Capex RAB'!F429</f>
        <v>0</v>
      </c>
      <c r="G429" s="61">
        <f>'13. Water - Capex RAB'!G429</f>
        <v>0</v>
      </c>
      <c r="H429" s="61">
        <f>'13. Water - Capex RAB'!H429</f>
        <v>0</v>
      </c>
    </row>
    <row r="430" spans="2:8">
      <c r="B430" s="152">
        <f t="shared" si="25"/>
        <v>0</v>
      </c>
      <c r="D430" s="61">
        <f>'13. Water - Capex RAB'!D430</f>
        <v>0</v>
      </c>
      <c r="E430" s="61">
        <f>'13. Water - Capex RAB'!E430</f>
        <v>0</v>
      </c>
      <c r="F430" s="61">
        <f>'13. Water - Capex RAB'!F430</f>
        <v>0</v>
      </c>
      <c r="G430" s="61">
        <f>'13. Water - Capex RAB'!G430</f>
        <v>0</v>
      </c>
      <c r="H430" s="61">
        <f>'13. Water - Capex RAB'!H430</f>
        <v>0</v>
      </c>
    </row>
    <row r="431" spans="2:8">
      <c r="B431" s="152">
        <f t="shared" si="25"/>
        <v>0</v>
      </c>
      <c r="D431" s="61">
        <f>'13. Water - Capex RAB'!D431</f>
        <v>0</v>
      </c>
      <c r="E431" s="61">
        <f>'13. Water - Capex RAB'!E431</f>
        <v>0</v>
      </c>
      <c r="F431" s="61">
        <f>'13. Water - Capex RAB'!F431</f>
        <v>0</v>
      </c>
      <c r="G431" s="61">
        <f>'13. Water - Capex RAB'!G431</f>
        <v>0</v>
      </c>
      <c r="H431" s="61">
        <f>'13. Water - Capex RAB'!H431</f>
        <v>0</v>
      </c>
    </row>
    <row r="432" spans="2:8">
      <c r="B432" s="152">
        <f t="shared" si="25"/>
        <v>0</v>
      </c>
      <c r="D432" s="61">
        <f>'13. Water - Capex RAB'!D432</f>
        <v>0</v>
      </c>
      <c r="E432" s="61">
        <f>'13. Water - Capex RAB'!E432</f>
        <v>0</v>
      </c>
      <c r="F432" s="61">
        <f>'13. Water - Capex RAB'!F432</f>
        <v>0</v>
      </c>
      <c r="G432" s="61">
        <f>'13. Water - Capex RAB'!G432</f>
        <v>0</v>
      </c>
      <c r="H432" s="61">
        <f>'13. Water - Capex RAB'!H432</f>
        <v>0</v>
      </c>
    </row>
    <row r="433" spans="2:8">
      <c r="B433" s="152">
        <f t="shared" si="25"/>
        <v>0</v>
      </c>
      <c r="D433" s="61">
        <f>'13. Water - Capex RAB'!D433</f>
        <v>0</v>
      </c>
      <c r="E433" s="61">
        <f>'13. Water - Capex RAB'!E433</f>
        <v>0</v>
      </c>
      <c r="F433" s="61">
        <f>'13. Water - Capex RAB'!F433</f>
        <v>0</v>
      </c>
      <c r="G433" s="61">
        <f>'13. Water - Capex RAB'!G433</f>
        <v>0</v>
      </c>
      <c r="H433" s="61">
        <f>'13. Water - Capex RAB'!H433</f>
        <v>0</v>
      </c>
    </row>
    <row r="434" spans="2:8">
      <c r="B434" s="152">
        <f t="shared" si="25"/>
        <v>0</v>
      </c>
      <c r="D434" s="61">
        <f>'13. Water - Capex RAB'!D434</f>
        <v>0</v>
      </c>
      <c r="E434" s="61">
        <f>'13. Water - Capex RAB'!E434</f>
        <v>0</v>
      </c>
      <c r="F434" s="61">
        <f>'13. Water - Capex RAB'!F434</f>
        <v>0</v>
      </c>
      <c r="G434" s="61">
        <f>'13. Water - Capex RAB'!G434</f>
        <v>0</v>
      </c>
      <c r="H434" s="61">
        <f>'13. Water - Capex RAB'!H434</f>
        <v>0</v>
      </c>
    </row>
    <row r="435" spans="2:8">
      <c r="B435" s="152">
        <f t="shared" si="25"/>
        <v>0</v>
      </c>
      <c r="D435" s="61">
        <f>'13. Water - Capex RAB'!D435</f>
        <v>0</v>
      </c>
      <c r="E435" s="61">
        <f>'13. Water - Capex RAB'!E435</f>
        <v>0</v>
      </c>
      <c r="F435" s="61">
        <f>'13. Water - Capex RAB'!F435</f>
        <v>0</v>
      </c>
      <c r="G435" s="61">
        <f>'13. Water - Capex RAB'!G435</f>
        <v>0</v>
      </c>
      <c r="H435" s="61">
        <f>'13. Water - Capex RAB'!H435</f>
        <v>0</v>
      </c>
    </row>
    <row r="436" spans="2:8">
      <c r="B436" s="152">
        <f t="shared" si="25"/>
        <v>0</v>
      </c>
      <c r="D436" s="61">
        <f>'13. Water - Capex RAB'!D436</f>
        <v>0</v>
      </c>
      <c r="E436" s="61">
        <f>'13. Water - Capex RAB'!E436</f>
        <v>0</v>
      </c>
      <c r="F436" s="61">
        <f>'13. Water - Capex RAB'!F436</f>
        <v>0</v>
      </c>
      <c r="G436" s="61">
        <f>'13. Water - Capex RAB'!G436</f>
        <v>0</v>
      </c>
      <c r="H436" s="61">
        <f>'13. Water - Capex RAB'!H436</f>
        <v>0</v>
      </c>
    </row>
    <row r="437" spans="2:8">
      <c r="B437" s="152">
        <f t="shared" si="25"/>
        <v>0</v>
      </c>
      <c r="D437" s="61">
        <f>'13. Water - Capex RAB'!D437</f>
        <v>0</v>
      </c>
      <c r="E437" s="61">
        <f>'13. Water - Capex RAB'!E437</f>
        <v>0</v>
      </c>
      <c r="F437" s="61">
        <f>'13. Water - Capex RAB'!F437</f>
        <v>0</v>
      </c>
      <c r="G437" s="61">
        <f>'13. Water - Capex RAB'!G437</f>
        <v>0</v>
      </c>
      <c r="H437" s="61">
        <f>'13. Water - Capex RAB'!H437</f>
        <v>0</v>
      </c>
    </row>
    <row r="438" spans="2:8">
      <c r="B438" s="152">
        <f t="shared" si="25"/>
        <v>0</v>
      </c>
      <c r="D438" s="61">
        <f>'13. Water - Capex RAB'!D438</f>
        <v>0</v>
      </c>
      <c r="E438" s="61">
        <f>'13. Water - Capex RAB'!E438</f>
        <v>0</v>
      </c>
      <c r="F438" s="61">
        <f>'13. Water - Capex RAB'!F438</f>
        <v>0</v>
      </c>
      <c r="G438" s="61">
        <f>'13. Water - Capex RAB'!G438</f>
        <v>0</v>
      </c>
      <c r="H438" s="61">
        <f>'13. Water - Capex RAB'!H438</f>
        <v>0</v>
      </c>
    </row>
    <row r="439" spans="2:8">
      <c r="B439" s="152">
        <f t="shared" si="25"/>
        <v>0</v>
      </c>
      <c r="D439" s="61">
        <f>'13. Water - Capex RAB'!D439</f>
        <v>0</v>
      </c>
      <c r="E439" s="61">
        <f>'13. Water - Capex RAB'!E439</f>
        <v>0</v>
      </c>
      <c r="F439" s="61">
        <f>'13. Water - Capex RAB'!F439</f>
        <v>0</v>
      </c>
      <c r="G439" s="61">
        <f>'13. Water - Capex RAB'!G439</f>
        <v>0</v>
      </c>
      <c r="H439" s="61">
        <f>'13. Water - Capex RAB'!H439</f>
        <v>0</v>
      </c>
    </row>
    <row r="440" spans="2:8">
      <c r="B440" s="152">
        <f t="shared" si="25"/>
        <v>0</v>
      </c>
      <c r="D440" s="61">
        <f>'13. Water - Capex RAB'!D440</f>
        <v>0</v>
      </c>
      <c r="E440" s="61">
        <f>'13. Water - Capex RAB'!E440</f>
        <v>0</v>
      </c>
      <c r="F440" s="61">
        <f>'13. Water - Capex RAB'!F440</f>
        <v>0</v>
      </c>
      <c r="G440" s="61">
        <f>'13. Water - Capex RAB'!G440</f>
        <v>0</v>
      </c>
      <c r="H440" s="61">
        <f>'13. Water - Capex RAB'!H440</f>
        <v>0</v>
      </c>
    </row>
    <row r="441" spans="2:8">
      <c r="B441" s="152">
        <f t="shared" si="25"/>
        <v>0</v>
      </c>
      <c r="D441" s="61">
        <f>'13. Water - Capex RAB'!D441</f>
        <v>0</v>
      </c>
      <c r="E441" s="61">
        <f>'13. Water - Capex RAB'!E441</f>
        <v>0</v>
      </c>
      <c r="F441" s="61">
        <f>'13. Water - Capex RAB'!F441</f>
        <v>0</v>
      </c>
      <c r="G441" s="61">
        <f>'13. Water - Capex RAB'!G441</f>
        <v>0</v>
      </c>
      <c r="H441" s="61">
        <f>'13. Water - Capex RAB'!H441</f>
        <v>0</v>
      </c>
    </row>
    <row r="442" spans="2:8">
      <c r="B442" s="152">
        <f t="shared" si="25"/>
        <v>0</v>
      </c>
      <c r="D442" s="61">
        <f>'13. Water - Capex RAB'!D442</f>
        <v>0</v>
      </c>
      <c r="E442" s="61">
        <f>'13. Water - Capex RAB'!E442</f>
        <v>0</v>
      </c>
      <c r="F442" s="61">
        <f>'13. Water - Capex RAB'!F442</f>
        <v>0</v>
      </c>
      <c r="G442" s="61">
        <f>'13. Water - Capex RAB'!G442</f>
        <v>0</v>
      </c>
      <c r="H442" s="61">
        <f>'13. Water - Capex RAB'!H442</f>
        <v>0</v>
      </c>
    </row>
    <row r="443" spans="2:8">
      <c r="B443" s="152">
        <f t="shared" si="25"/>
        <v>0</v>
      </c>
      <c r="D443" s="61">
        <f>'13. Water - Capex RAB'!D443</f>
        <v>0</v>
      </c>
      <c r="E443" s="61">
        <f>'13. Water - Capex RAB'!E443</f>
        <v>0</v>
      </c>
      <c r="F443" s="61">
        <f>'13. Water - Capex RAB'!F443</f>
        <v>0</v>
      </c>
      <c r="G443" s="61">
        <f>'13. Water - Capex RAB'!G443</f>
        <v>0</v>
      </c>
      <c r="H443" s="61">
        <f>'13. Water - Capex RAB'!H443</f>
        <v>0</v>
      </c>
    </row>
    <row r="444" spans="2:8">
      <c r="B444" s="152">
        <f t="shared" si="25"/>
        <v>0</v>
      </c>
      <c r="D444" s="61">
        <f>'13. Water - Capex RAB'!D444</f>
        <v>0</v>
      </c>
      <c r="E444" s="61">
        <f>'13. Water - Capex RAB'!E444</f>
        <v>0</v>
      </c>
      <c r="F444" s="61">
        <f>'13. Water - Capex RAB'!F444</f>
        <v>0</v>
      </c>
      <c r="G444" s="61">
        <f>'13. Water - Capex RAB'!G444</f>
        <v>0</v>
      </c>
      <c r="H444" s="61">
        <f>'13. Water - Capex RAB'!H444</f>
        <v>0</v>
      </c>
    </row>
    <row r="445" spans="2:8">
      <c r="B445" s="152">
        <f t="shared" si="25"/>
        <v>0</v>
      </c>
      <c r="D445" s="61">
        <f>'13. Water - Capex RAB'!D445</f>
        <v>0</v>
      </c>
      <c r="E445" s="61">
        <f>'13. Water - Capex RAB'!E445</f>
        <v>0</v>
      </c>
      <c r="F445" s="61">
        <f>'13. Water - Capex RAB'!F445</f>
        <v>0</v>
      </c>
      <c r="G445" s="61">
        <f>'13. Water - Capex RAB'!G445</f>
        <v>0</v>
      </c>
      <c r="H445" s="61">
        <f>'13. Water - Capex RAB'!H445</f>
        <v>0</v>
      </c>
    </row>
    <row r="446" spans="2:8">
      <c r="B446" s="152">
        <f t="shared" si="25"/>
        <v>0</v>
      </c>
      <c r="D446" s="61">
        <f>'13. Water - Capex RAB'!D446</f>
        <v>0</v>
      </c>
      <c r="E446" s="61">
        <f>'13. Water - Capex RAB'!E446</f>
        <v>0</v>
      </c>
      <c r="F446" s="61">
        <f>'13. Water - Capex RAB'!F446</f>
        <v>0</v>
      </c>
      <c r="G446" s="61">
        <f>'13. Water - Capex RAB'!G446</f>
        <v>0</v>
      </c>
      <c r="H446" s="61">
        <f>'13. Water - Capex RAB'!H446</f>
        <v>0</v>
      </c>
    </row>
    <row r="447" spans="2:8">
      <c r="B447" s="152">
        <f t="shared" si="25"/>
        <v>0</v>
      </c>
      <c r="D447" s="61">
        <f>'13. Water - Capex RAB'!D447</f>
        <v>0</v>
      </c>
      <c r="E447" s="61">
        <f>'13. Water - Capex RAB'!E447</f>
        <v>0</v>
      </c>
      <c r="F447" s="61">
        <f>'13. Water - Capex RAB'!F447</f>
        <v>0</v>
      </c>
      <c r="G447" s="61">
        <f>'13. Water - Capex RAB'!G447</f>
        <v>0</v>
      </c>
      <c r="H447" s="61">
        <f>'13. Water - Capex RAB'!H447</f>
        <v>0</v>
      </c>
    </row>
    <row r="448" spans="2:8">
      <c r="B448" s="152">
        <f t="shared" si="25"/>
        <v>0</v>
      </c>
      <c r="D448" s="61">
        <f>'13. Water - Capex RAB'!D448</f>
        <v>0</v>
      </c>
      <c r="E448" s="61">
        <f>'13. Water - Capex RAB'!E448</f>
        <v>0</v>
      </c>
      <c r="F448" s="61">
        <f>'13. Water - Capex RAB'!F448</f>
        <v>0</v>
      </c>
      <c r="G448" s="61">
        <f>'13. Water - Capex RAB'!G448</f>
        <v>0</v>
      </c>
      <c r="H448" s="61">
        <f>'13. Water - Capex RAB'!H448</f>
        <v>0</v>
      </c>
    </row>
    <row r="449" spans="2:8">
      <c r="B449" s="152">
        <f t="shared" si="25"/>
        <v>0</v>
      </c>
      <c r="D449" s="61">
        <f>'13. Water - Capex RAB'!D449</f>
        <v>0</v>
      </c>
      <c r="E449" s="61">
        <f>'13. Water - Capex RAB'!E449</f>
        <v>0</v>
      </c>
      <c r="F449" s="61">
        <f>'13. Water - Capex RAB'!F449</f>
        <v>0</v>
      </c>
      <c r="G449" s="61">
        <f>'13. Water - Capex RAB'!G449</f>
        <v>0</v>
      </c>
      <c r="H449" s="61">
        <f>'13. Water - Capex RAB'!H449</f>
        <v>0</v>
      </c>
    </row>
    <row r="450" spans="2:8">
      <c r="B450" s="152">
        <f t="shared" si="25"/>
        <v>0</v>
      </c>
      <c r="D450" s="61">
        <f>'13. Water - Capex RAB'!D450</f>
        <v>0</v>
      </c>
      <c r="E450" s="61">
        <f>'13. Water - Capex RAB'!E450</f>
        <v>0</v>
      </c>
      <c r="F450" s="61">
        <f>'13. Water - Capex RAB'!F450</f>
        <v>0</v>
      </c>
      <c r="G450" s="61">
        <f>'13. Water - Capex RAB'!G450</f>
        <v>0</v>
      </c>
      <c r="H450" s="61">
        <f>'13. Water - Capex RAB'!H450</f>
        <v>0</v>
      </c>
    </row>
    <row r="451" spans="2:8">
      <c r="B451" s="152">
        <f t="shared" si="25"/>
        <v>0</v>
      </c>
      <c r="D451" s="61">
        <f>'13. Water - Capex RAB'!D451</f>
        <v>0</v>
      </c>
      <c r="E451" s="61">
        <f>'13. Water - Capex RAB'!E451</f>
        <v>0</v>
      </c>
      <c r="F451" s="61">
        <f>'13. Water - Capex RAB'!F451</f>
        <v>0</v>
      </c>
      <c r="G451" s="61">
        <f>'13. Water - Capex RAB'!G451</f>
        <v>0</v>
      </c>
      <c r="H451" s="61">
        <f>'13. Water - Capex RAB'!H451</f>
        <v>0</v>
      </c>
    </row>
    <row r="452" spans="2:8">
      <c r="B452" s="152">
        <f t="shared" si="25"/>
        <v>0</v>
      </c>
      <c r="D452" s="61">
        <f>'13. Water - Capex RAB'!D452</f>
        <v>0</v>
      </c>
      <c r="E452" s="61">
        <f>'13. Water - Capex RAB'!E452</f>
        <v>0</v>
      </c>
      <c r="F452" s="61">
        <f>'13. Water - Capex RAB'!F452</f>
        <v>0</v>
      </c>
      <c r="G452" s="61">
        <f>'13. Water - Capex RAB'!G452</f>
        <v>0</v>
      </c>
      <c r="H452" s="61">
        <f>'13. Water - Capex RAB'!H452</f>
        <v>0</v>
      </c>
    </row>
    <row r="453" spans="2:8">
      <c r="B453" s="152">
        <f t="shared" si="25"/>
        <v>0</v>
      </c>
      <c r="D453" s="61">
        <f>'13. Water - Capex RAB'!D453</f>
        <v>0</v>
      </c>
      <c r="E453" s="61">
        <f>'13. Water - Capex RAB'!E453</f>
        <v>0</v>
      </c>
      <c r="F453" s="61">
        <f>'13. Water - Capex RAB'!F453</f>
        <v>0</v>
      </c>
      <c r="G453" s="61">
        <f>'13. Water - Capex RAB'!G453</f>
        <v>0</v>
      </c>
      <c r="H453" s="61">
        <f>'13. Water - Capex RAB'!H453</f>
        <v>0</v>
      </c>
    </row>
    <row r="454" spans="2:8">
      <c r="B454" s="152">
        <f t="shared" si="25"/>
        <v>0</v>
      </c>
      <c r="D454" s="61">
        <f>'13. Water - Capex RAB'!D454</f>
        <v>0</v>
      </c>
      <c r="E454" s="61">
        <f>'13. Water - Capex RAB'!E454</f>
        <v>0</v>
      </c>
      <c r="F454" s="61">
        <f>'13. Water - Capex RAB'!F454</f>
        <v>0</v>
      </c>
      <c r="G454" s="61">
        <f>'13. Water - Capex RAB'!G454</f>
        <v>0</v>
      </c>
      <c r="H454" s="61">
        <f>'13. Water - Capex RAB'!H454</f>
        <v>0</v>
      </c>
    </row>
    <row r="455" spans="2:8">
      <c r="B455" s="152">
        <f t="shared" si="25"/>
        <v>0</v>
      </c>
      <c r="D455" s="61">
        <f>'13. Water - Capex RAB'!D455</f>
        <v>0</v>
      </c>
      <c r="E455" s="61">
        <f>'13. Water - Capex RAB'!E455</f>
        <v>0</v>
      </c>
      <c r="F455" s="61">
        <f>'13. Water - Capex RAB'!F455</f>
        <v>0</v>
      </c>
      <c r="G455" s="61">
        <f>'13. Water - Capex RAB'!G455</f>
        <v>0</v>
      </c>
      <c r="H455" s="61">
        <f>'13. Water - Capex RAB'!H455</f>
        <v>0</v>
      </c>
    </row>
    <row r="456" spans="2:8">
      <c r="B456" s="152">
        <f t="shared" si="25"/>
        <v>0</v>
      </c>
      <c r="D456" s="61">
        <f>'13. Water - Capex RAB'!D456</f>
        <v>0</v>
      </c>
      <c r="E456" s="61">
        <f>'13. Water - Capex RAB'!E456</f>
        <v>0</v>
      </c>
      <c r="F456" s="61">
        <f>'13. Water - Capex RAB'!F456</f>
        <v>0</v>
      </c>
      <c r="G456" s="61">
        <f>'13. Water - Capex RAB'!G456</f>
        <v>0</v>
      </c>
      <c r="H456" s="61">
        <f>'13. Water - Capex RAB'!H456</f>
        <v>0</v>
      </c>
    </row>
    <row r="457" spans="2:8">
      <c r="B457" s="152">
        <f t="shared" si="25"/>
        <v>0</v>
      </c>
      <c r="D457" s="61">
        <f>'13. Water - Capex RAB'!D457</f>
        <v>0</v>
      </c>
      <c r="E457" s="61">
        <f>'13. Water - Capex RAB'!E457</f>
        <v>0</v>
      </c>
      <c r="F457" s="61">
        <f>'13. Water - Capex RAB'!F457</f>
        <v>0</v>
      </c>
      <c r="G457" s="61">
        <f>'13. Water - Capex RAB'!G457</f>
        <v>0</v>
      </c>
      <c r="H457" s="61">
        <f>'13. Water - Capex RAB'!H457</f>
        <v>0</v>
      </c>
    </row>
    <row r="458" spans="2:8">
      <c r="B458" s="152">
        <f t="shared" ref="B458:B521" si="26">B272</f>
        <v>0</v>
      </c>
      <c r="D458" s="61">
        <f>'13. Water - Capex RAB'!D458</f>
        <v>0</v>
      </c>
      <c r="E458" s="61">
        <f>'13. Water - Capex RAB'!E458</f>
        <v>0</v>
      </c>
      <c r="F458" s="61">
        <f>'13. Water - Capex RAB'!F458</f>
        <v>0</v>
      </c>
      <c r="G458" s="61">
        <f>'13. Water - Capex RAB'!G458</f>
        <v>0</v>
      </c>
      <c r="H458" s="61">
        <f>'13. Water - Capex RAB'!H458</f>
        <v>0</v>
      </c>
    </row>
    <row r="459" spans="2:8">
      <c r="B459" s="152">
        <f t="shared" si="26"/>
        <v>0</v>
      </c>
      <c r="D459" s="61">
        <f>'13. Water - Capex RAB'!D459</f>
        <v>0</v>
      </c>
      <c r="E459" s="61">
        <f>'13. Water - Capex RAB'!E459</f>
        <v>0</v>
      </c>
      <c r="F459" s="61">
        <f>'13. Water - Capex RAB'!F459</f>
        <v>0</v>
      </c>
      <c r="G459" s="61">
        <f>'13. Water - Capex RAB'!G459</f>
        <v>0</v>
      </c>
      <c r="H459" s="61">
        <f>'13. Water - Capex RAB'!H459</f>
        <v>0</v>
      </c>
    </row>
    <row r="460" spans="2:8">
      <c r="B460" s="152">
        <f t="shared" si="26"/>
        <v>0</v>
      </c>
      <c r="D460" s="61">
        <f>'13. Water - Capex RAB'!D460</f>
        <v>0</v>
      </c>
      <c r="E460" s="61">
        <f>'13. Water - Capex RAB'!E460</f>
        <v>0</v>
      </c>
      <c r="F460" s="61">
        <f>'13. Water - Capex RAB'!F460</f>
        <v>0</v>
      </c>
      <c r="G460" s="61">
        <f>'13. Water - Capex RAB'!G460</f>
        <v>0</v>
      </c>
      <c r="H460" s="61">
        <f>'13. Water - Capex RAB'!H460</f>
        <v>0</v>
      </c>
    </row>
    <row r="461" spans="2:8">
      <c r="B461" s="152">
        <f t="shared" si="26"/>
        <v>0</v>
      </c>
      <c r="D461" s="61">
        <f>'13. Water - Capex RAB'!D461</f>
        <v>0</v>
      </c>
      <c r="E461" s="61">
        <f>'13. Water - Capex RAB'!E461</f>
        <v>0</v>
      </c>
      <c r="F461" s="61">
        <f>'13. Water - Capex RAB'!F461</f>
        <v>0</v>
      </c>
      <c r="G461" s="61">
        <f>'13. Water - Capex RAB'!G461</f>
        <v>0</v>
      </c>
      <c r="H461" s="61">
        <f>'13. Water - Capex RAB'!H461</f>
        <v>0</v>
      </c>
    </row>
    <row r="462" spans="2:8">
      <c r="B462" s="152">
        <f t="shared" si="26"/>
        <v>0</v>
      </c>
      <c r="D462" s="61">
        <f>'13. Water - Capex RAB'!D462</f>
        <v>0</v>
      </c>
      <c r="E462" s="61">
        <f>'13. Water - Capex RAB'!E462</f>
        <v>0</v>
      </c>
      <c r="F462" s="61">
        <f>'13. Water - Capex RAB'!F462</f>
        <v>0</v>
      </c>
      <c r="G462" s="61">
        <f>'13. Water - Capex RAB'!G462</f>
        <v>0</v>
      </c>
      <c r="H462" s="61">
        <f>'13. Water - Capex RAB'!H462</f>
        <v>0</v>
      </c>
    </row>
    <row r="463" spans="2:8">
      <c r="B463" s="152">
        <f t="shared" si="26"/>
        <v>0</v>
      </c>
      <c r="D463" s="61">
        <f>'13. Water - Capex RAB'!D463</f>
        <v>0</v>
      </c>
      <c r="E463" s="61">
        <f>'13. Water - Capex RAB'!E463</f>
        <v>0</v>
      </c>
      <c r="F463" s="61">
        <f>'13. Water - Capex RAB'!F463</f>
        <v>0</v>
      </c>
      <c r="G463" s="61">
        <f>'13. Water - Capex RAB'!G463</f>
        <v>0</v>
      </c>
      <c r="H463" s="61">
        <f>'13. Water - Capex RAB'!H463</f>
        <v>0</v>
      </c>
    </row>
    <row r="464" spans="2:8">
      <c r="B464" s="152">
        <f t="shared" si="26"/>
        <v>0</v>
      </c>
      <c r="D464" s="61">
        <f>'13. Water - Capex RAB'!D464</f>
        <v>0</v>
      </c>
      <c r="E464" s="61">
        <f>'13. Water - Capex RAB'!E464</f>
        <v>0</v>
      </c>
      <c r="F464" s="61">
        <f>'13. Water - Capex RAB'!F464</f>
        <v>0</v>
      </c>
      <c r="G464" s="61">
        <f>'13. Water - Capex RAB'!G464</f>
        <v>0</v>
      </c>
      <c r="H464" s="61">
        <f>'13. Water - Capex RAB'!H464</f>
        <v>0</v>
      </c>
    </row>
    <row r="465" spans="2:8">
      <c r="B465" s="152">
        <f t="shared" si="26"/>
        <v>0</v>
      </c>
      <c r="D465" s="61">
        <f>'13. Water - Capex RAB'!D465</f>
        <v>0</v>
      </c>
      <c r="E465" s="61">
        <f>'13. Water - Capex RAB'!E465</f>
        <v>0</v>
      </c>
      <c r="F465" s="61">
        <f>'13. Water - Capex RAB'!F465</f>
        <v>0</v>
      </c>
      <c r="G465" s="61">
        <f>'13. Water - Capex RAB'!G465</f>
        <v>0</v>
      </c>
      <c r="H465" s="61">
        <f>'13. Water - Capex RAB'!H465</f>
        <v>0</v>
      </c>
    </row>
    <row r="466" spans="2:8">
      <c r="B466" s="152">
        <f t="shared" si="26"/>
        <v>0</v>
      </c>
      <c r="D466" s="61">
        <f>'13. Water - Capex RAB'!D466</f>
        <v>0</v>
      </c>
      <c r="E466" s="61">
        <f>'13. Water - Capex RAB'!E466</f>
        <v>0</v>
      </c>
      <c r="F466" s="61">
        <f>'13. Water - Capex RAB'!F466</f>
        <v>0</v>
      </c>
      <c r="G466" s="61">
        <f>'13. Water - Capex RAB'!G466</f>
        <v>0</v>
      </c>
      <c r="H466" s="61">
        <f>'13. Water - Capex RAB'!H466</f>
        <v>0</v>
      </c>
    </row>
    <row r="467" spans="2:8">
      <c r="B467" s="152">
        <f t="shared" si="26"/>
        <v>0</v>
      </c>
      <c r="D467" s="61">
        <f>'13. Water - Capex RAB'!D467</f>
        <v>0</v>
      </c>
      <c r="E467" s="61">
        <f>'13. Water - Capex RAB'!E467</f>
        <v>0</v>
      </c>
      <c r="F467" s="61">
        <f>'13. Water - Capex RAB'!F467</f>
        <v>0</v>
      </c>
      <c r="G467" s="61">
        <f>'13. Water - Capex RAB'!G467</f>
        <v>0</v>
      </c>
      <c r="H467" s="61">
        <f>'13. Water - Capex RAB'!H467</f>
        <v>0</v>
      </c>
    </row>
    <row r="468" spans="2:8">
      <c r="B468" s="152">
        <f t="shared" si="26"/>
        <v>0</v>
      </c>
      <c r="D468" s="61">
        <f>'13. Water - Capex RAB'!D468</f>
        <v>0</v>
      </c>
      <c r="E468" s="61">
        <f>'13. Water - Capex RAB'!E468</f>
        <v>0</v>
      </c>
      <c r="F468" s="61">
        <f>'13. Water - Capex RAB'!F468</f>
        <v>0</v>
      </c>
      <c r="G468" s="61">
        <f>'13. Water - Capex RAB'!G468</f>
        <v>0</v>
      </c>
      <c r="H468" s="61">
        <f>'13. Water - Capex RAB'!H468</f>
        <v>0</v>
      </c>
    </row>
    <row r="469" spans="2:8">
      <c r="B469" s="152">
        <f t="shared" si="26"/>
        <v>0</v>
      </c>
      <c r="D469" s="61">
        <f>'13. Water - Capex RAB'!D469</f>
        <v>0</v>
      </c>
      <c r="E469" s="61">
        <f>'13. Water - Capex RAB'!E469</f>
        <v>0</v>
      </c>
      <c r="F469" s="61">
        <f>'13. Water - Capex RAB'!F469</f>
        <v>0</v>
      </c>
      <c r="G469" s="61">
        <f>'13. Water - Capex RAB'!G469</f>
        <v>0</v>
      </c>
      <c r="H469" s="61">
        <f>'13. Water - Capex RAB'!H469</f>
        <v>0</v>
      </c>
    </row>
    <row r="470" spans="2:8">
      <c r="B470" s="152">
        <f t="shared" si="26"/>
        <v>0</v>
      </c>
      <c r="D470" s="61">
        <f>'13. Water - Capex RAB'!D470</f>
        <v>0</v>
      </c>
      <c r="E470" s="61">
        <f>'13. Water - Capex RAB'!E470</f>
        <v>0</v>
      </c>
      <c r="F470" s="61">
        <f>'13. Water - Capex RAB'!F470</f>
        <v>0</v>
      </c>
      <c r="G470" s="61">
        <f>'13. Water - Capex RAB'!G470</f>
        <v>0</v>
      </c>
      <c r="H470" s="61">
        <f>'13. Water - Capex RAB'!H470</f>
        <v>0</v>
      </c>
    </row>
    <row r="471" spans="2:8">
      <c r="B471" s="152">
        <f t="shared" si="26"/>
        <v>0</v>
      </c>
      <c r="D471" s="61">
        <f>'13. Water - Capex RAB'!D471</f>
        <v>0</v>
      </c>
      <c r="E471" s="61">
        <f>'13. Water - Capex RAB'!E471</f>
        <v>0</v>
      </c>
      <c r="F471" s="61">
        <f>'13. Water - Capex RAB'!F471</f>
        <v>0</v>
      </c>
      <c r="G471" s="61">
        <f>'13. Water - Capex RAB'!G471</f>
        <v>0</v>
      </c>
      <c r="H471" s="61">
        <f>'13. Water - Capex RAB'!H471</f>
        <v>0</v>
      </c>
    </row>
    <row r="472" spans="2:8">
      <c r="B472" s="152">
        <f t="shared" si="26"/>
        <v>0</v>
      </c>
      <c r="D472" s="61">
        <f>'13. Water - Capex RAB'!D472</f>
        <v>0</v>
      </c>
      <c r="E472" s="61">
        <f>'13. Water - Capex RAB'!E472</f>
        <v>0</v>
      </c>
      <c r="F472" s="61">
        <f>'13. Water - Capex RAB'!F472</f>
        <v>0</v>
      </c>
      <c r="G472" s="61">
        <f>'13. Water - Capex RAB'!G472</f>
        <v>0</v>
      </c>
      <c r="H472" s="61">
        <f>'13. Water - Capex RAB'!H472</f>
        <v>0</v>
      </c>
    </row>
    <row r="473" spans="2:8">
      <c r="B473" s="152">
        <f t="shared" si="26"/>
        <v>0</v>
      </c>
      <c r="D473" s="61">
        <f>'13. Water - Capex RAB'!D473</f>
        <v>0</v>
      </c>
      <c r="E473" s="61">
        <f>'13. Water - Capex RAB'!E473</f>
        <v>0</v>
      </c>
      <c r="F473" s="61">
        <f>'13. Water - Capex RAB'!F473</f>
        <v>0</v>
      </c>
      <c r="G473" s="61">
        <f>'13. Water - Capex RAB'!G473</f>
        <v>0</v>
      </c>
      <c r="H473" s="61">
        <f>'13. Water - Capex RAB'!H473</f>
        <v>0</v>
      </c>
    </row>
    <row r="474" spans="2:8">
      <c r="B474" s="152">
        <f t="shared" si="26"/>
        <v>0</v>
      </c>
      <c r="D474" s="61">
        <f>'13. Water - Capex RAB'!D474</f>
        <v>0</v>
      </c>
      <c r="E474" s="61">
        <f>'13. Water - Capex RAB'!E474</f>
        <v>0</v>
      </c>
      <c r="F474" s="61">
        <f>'13. Water - Capex RAB'!F474</f>
        <v>0</v>
      </c>
      <c r="G474" s="61">
        <f>'13. Water - Capex RAB'!G474</f>
        <v>0</v>
      </c>
      <c r="H474" s="61">
        <f>'13. Water - Capex RAB'!H474</f>
        <v>0</v>
      </c>
    </row>
    <row r="475" spans="2:8">
      <c r="B475" s="152">
        <f t="shared" si="26"/>
        <v>0</v>
      </c>
      <c r="D475" s="61">
        <f>'13. Water - Capex RAB'!D475</f>
        <v>0</v>
      </c>
      <c r="E475" s="61">
        <f>'13. Water - Capex RAB'!E475</f>
        <v>0</v>
      </c>
      <c r="F475" s="61">
        <f>'13. Water - Capex RAB'!F475</f>
        <v>0</v>
      </c>
      <c r="G475" s="61">
        <f>'13. Water - Capex RAB'!G475</f>
        <v>0</v>
      </c>
      <c r="H475" s="61">
        <f>'13. Water - Capex RAB'!H475</f>
        <v>0</v>
      </c>
    </row>
    <row r="476" spans="2:8">
      <c r="B476" s="152">
        <f t="shared" si="26"/>
        <v>0</v>
      </c>
      <c r="D476" s="61">
        <f>'13. Water - Capex RAB'!D476</f>
        <v>0</v>
      </c>
      <c r="E476" s="61">
        <f>'13. Water - Capex RAB'!E476</f>
        <v>0</v>
      </c>
      <c r="F476" s="61">
        <f>'13. Water - Capex RAB'!F476</f>
        <v>0</v>
      </c>
      <c r="G476" s="61">
        <f>'13. Water - Capex RAB'!G476</f>
        <v>0</v>
      </c>
      <c r="H476" s="61">
        <f>'13. Water - Capex RAB'!H476</f>
        <v>0</v>
      </c>
    </row>
    <row r="477" spans="2:8">
      <c r="B477" s="152">
        <f t="shared" si="26"/>
        <v>0</v>
      </c>
      <c r="D477" s="61">
        <f>'13. Water - Capex RAB'!D477</f>
        <v>0</v>
      </c>
      <c r="E477" s="61">
        <f>'13. Water - Capex RAB'!E477</f>
        <v>0</v>
      </c>
      <c r="F477" s="61">
        <f>'13. Water - Capex RAB'!F477</f>
        <v>0</v>
      </c>
      <c r="G477" s="61">
        <f>'13. Water - Capex RAB'!G477</f>
        <v>0</v>
      </c>
      <c r="H477" s="61">
        <f>'13. Water - Capex RAB'!H477</f>
        <v>0</v>
      </c>
    </row>
    <row r="478" spans="2:8">
      <c r="B478" s="152">
        <f t="shared" si="26"/>
        <v>0</v>
      </c>
      <c r="D478" s="61">
        <f>'13. Water - Capex RAB'!D478</f>
        <v>0</v>
      </c>
      <c r="E478" s="61">
        <f>'13. Water - Capex RAB'!E478</f>
        <v>0</v>
      </c>
      <c r="F478" s="61">
        <f>'13. Water - Capex RAB'!F478</f>
        <v>0</v>
      </c>
      <c r="G478" s="61">
        <f>'13. Water - Capex RAB'!G478</f>
        <v>0</v>
      </c>
      <c r="H478" s="61">
        <f>'13. Water - Capex RAB'!H478</f>
        <v>0</v>
      </c>
    </row>
    <row r="479" spans="2:8">
      <c r="B479" s="152">
        <f t="shared" si="26"/>
        <v>0</v>
      </c>
      <c r="D479" s="61">
        <f>'13. Water - Capex RAB'!D479</f>
        <v>0</v>
      </c>
      <c r="E479" s="61">
        <f>'13. Water - Capex RAB'!E479</f>
        <v>0</v>
      </c>
      <c r="F479" s="61">
        <f>'13. Water - Capex RAB'!F479</f>
        <v>0</v>
      </c>
      <c r="G479" s="61">
        <f>'13. Water - Capex RAB'!G479</f>
        <v>0</v>
      </c>
      <c r="H479" s="61">
        <f>'13. Water - Capex RAB'!H479</f>
        <v>0</v>
      </c>
    </row>
    <row r="480" spans="2:8">
      <c r="B480" s="152">
        <f t="shared" si="26"/>
        <v>0</v>
      </c>
      <c r="D480" s="61">
        <f>'13. Water - Capex RAB'!D480</f>
        <v>0</v>
      </c>
      <c r="E480" s="61">
        <f>'13. Water - Capex RAB'!E480</f>
        <v>0</v>
      </c>
      <c r="F480" s="61">
        <f>'13. Water - Capex RAB'!F480</f>
        <v>0</v>
      </c>
      <c r="G480" s="61">
        <f>'13. Water - Capex RAB'!G480</f>
        <v>0</v>
      </c>
      <c r="H480" s="61">
        <f>'13. Water - Capex RAB'!H480</f>
        <v>0</v>
      </c>
    </row>
    <row r="481" spans="2:8">
      <c r="B481" s="152">
        <f t="shared" si="26"/>
        <v>0</v>
      </c>
      <c r="D481" s="61">
        <f>'13. Water - Capex RAB'!D481</f>
        <v>0</v>
      </c>
      <c r="E481" s="61">
        <f>'13. Water - Capex RAB'!E481</f>
        <v>0</v>
      </c>
      <c r="F481" s="61">
        <f>'13. Water - Capex RAB'!F481</f>
        <v>0</v>
      </c>
      <c r="G481" s="61">
        <f>'13. Water - Capex RAB'!G481</f>
        <v>0</v>
      </c>
      <c r="H481" s="61">
        <f>'13. Water - Capex RAB'!H481</f>
        <v>0</v>
      </c>
    </row>
    <row r="482" spans="2:8">
      <c r="B482" s="152">
        <f t="shared" si="26"/>
        <v>0</v>
      </c>
      <c r="D482" s="61">
        <f>'13. Water - Capex RAB'!D482</f>
        <v>0</v>
      </c>
      <c r="E482" s="61">
        <f>'13. Water - Capex RAB'!E482</f>
        <v>0</v>
      </c>
      <c r="F482" s="61">
        <f>'13. Water - Capex RAB'!F482</f>
        <v>0</v>
      </c>
      <c r="G482" s="61">
        <f>'13. Water - Capex RAB'!G482</f>
        <v>0</v>
      </c>
      <c r="H482" s="61">
        <f>'13. Water - Capex RAB'!H482</f>
        <v>0</v>
      </c>
    </row>
    <row r="483" spans="2:8">
      <c r="B483" s="152">
        <f t="shared" si="26"/>
        <v>0</v>
      </c>
      <c r="D483" s="61">
        <f>'13. Water - Capex RAB'!D483</f>
        <v>0</v>
      </c>
      <c r="E483" s="61">
        <f>'13. Water - Capex RAB'!E483</f>
        <v>0</v>
      </c>
      <c r="F483" s="61">
        <f>'13. Water - Capex RAB'!F483</f>
        <v>0</v>
      </c>
      <c r="G483" s="61">
        <f>'13. Water - Capex RAB'!G483</f>
        <v>0</v>
      </c>
      <c r="H483" s="61">
        <f>'13. Water - Capex RAB'!H483</f>
        <v>0</v>
      </c>
    </row>
    <row r="484" spans="2:8">
      <c r="B484" s="152">
        <f t="shared" si="26"/>
        <v>0</v>
      </c>
      <c r="D484" s="61">
        <f>'13. Water - Capex RAB'!D484</f>
        <v>0</v>
      </c>
      <c r="E484" s="61">
        <f>'13. Water - Capex RAB'!E484</f>
        <v>0</v>
      </c>
      <c r="F484" s="61">
        <f>'13. Water - Capex RAB'!F484</f>
        <v>0</v>
      </c>
      <c r="G484" s="61">
        <f>'13. Water - Capex RAB'!G484</f>
        <v>0</v>
      </c>
      <c r="H484" s="61">
        <f>'13. Water - Capex RAB'!H484</f>
        <v>0</v>
      </c>
    </row>
    <row r="485" spans="2:8">
      <c r="B485" s="152">
        <f t="shared" si="26"/>
        <v>0</v>
      </c>
      <c r="D485" s="61">
        <f>'13. Water - Capex RAB'!D485</f>
        <v>0</v>
      </c>
      <c r="E485" s="61">
        <f>'13. Water - Capex RAB'!E485</f>
        <v>0</v>
      </c>
      <c r="F485" s="61">
        <f>'13. Water - Capex RAB'!F485</f>
        <v>0</v>
      </c>
      <c r="G485" s="61">
        <f>'13. Water - Capex RAB'!G485</f>
        <v>0</v>
      </c>
      <c r="H485" s="61">
        <f>'13. Water - Capex RAB'!H485</f>
        <v>0</v>
      </c>
    </row>
    <row r="486" spans="2:8">
      <c r="B486" s="152">
        <f t="shared" si="26"/>
        <v>0</v>
      </c>
      <c r="D486" s="61">
        <f>'13. Water - Capex RAB'!D486</f>
        <v>0</v>
      </c>
      <c r="E486" s="61">
        <f>'13. Water - Capex RAB'!E486</f>
        <v>0</v>
      </c>
      <c r="F486" s="61">
        <f>'13. Water - Capex RAB'!F486</f>
        <v>0</v>
      </c>
      <c r="G486" s="61">
        <f>'13. Water - Capex RAB'!G486</f>
        <v>0</v>
      </c>
      <c r="H486" s="61">
        <f>'13. Water - Capex RAB'!H486</f>
        <v>0</v>
      </c>
    </row>
    <row r="487" spans="2:8">
      <c r="B487" s="152">
        <f t="shared" si="26"/>
        <v>0</v>
      </c>
      <c r="D487" s="61">
        <f>'13. Water - Capex RAB'!D487</f>
        <v>0</v>
      </c>
      <c r="E487" s="61">
        <f>'13. Water - Capex RAB'!E487</f>
        <v>0</v>
      </c>
      <c r="F487" s="61">
        <f>'13. Water - Capex RAB'!F487</f>
        <v>0</v>
      </c>
      <c r="G487" s="61">
        <f>'13. Water - Capex RAB'!G487</f>
        <v>0</v>
      </c>
      <c r="H487" s="61">
        <f>'13. Water - Capex RAB'!H487</f>
        <v>0</v>
      </c>
    </row>
    <row r="488" spans="2:8">
      <c r="B488" s="152">
        <f t="shared" si="26"/>
        <v>0</v>
      </c>
      <c r="D488" s="61">
        <f>'13. Water - Capex RAB'!D488</f>
        <v>0</v>
      </c>
      <c r="E488" s="61">
        <f>'13. Water - Capex RAB'!E488</f>
        <v>0</v>
      </c>
      <c r="F488" s="61">
        <f>'13. Water - Capex RAB'!F488</f>
        <v>0</v>
      </c>
      <c r="G488" s="61">
        <f>'13. Water - Capex RAB'!G488</f>
        <v>0</v>
      </c>
      <c r="H488" s="61">
        <f>'13. Water - Capex RAB'!H488</f>
        <v>0</v>
      </c>
    </row>
    <row r="489" spans="2:8">
      <c r="B489" s="152">
        <f t="shared" si="26"/>
        <v>0</v>
      </c>
      <c r="D489" s="61">
        <f>'13. Water - Capex RAB'!D489</f>
        <v>0</v>
      </c>
      <c r="E489" s="61">
        <f>'13. Water - Capex RAB'!E489</f>
        <v>0</v>
      </c>
      <c r="F489" s="61">
        <f>'13. Water - Capex RAB'!F489</f>
        <v>0</v>
      </c>
      <c r="G489" s="61">
        <f>'13. Water - Capex RAB'!G489</f>
        <v>0</v>
      </c>
      <c r="H489" s="61">
        <f>'13. Water - Capex RAB'!H489</f>
        <v>0</v>
      </c>
    </row>
    <row r="490" spans="2:8">
      <c r="B490" s="152">
        <f t="shared" si="26"/>
        <v>0</v>
      </c>
      <c r="D490" s="61">
        <f>'13. Water - Capex RAB'!D490</f>
        <v>0</v>
      </c>
      <c r="E490" s="61">
        <f>'13. Water - Capex RAB'!E490</f>
        <v>0</v>
      </c>
      <c r="F490" s="61">
        <f>'13. Water - Capex RAB'!F490</f>
        <v>0</v>
      </c>
      <c r="G490" s="61">
        <f>'13. Water - Capex RAB'!G490</f>
        <v>0</v>
      </c>
      <c r="H490" s="61">
        <f>'13. Water - Capex RAB'!H490</f>
        <v>0</v>
      </c>
    </row>
    <row r="491" spans="2:8">
      <c r="B491" s="152">
        <f t="shared" si="26"/>
        <v>0</v>
      </c>
      <c r="D491" s="61">
        <f>'13. Water - Capex RAB'!D491</f>
        <v>0</v>
      </c>
      <c r="E491" s="61">
        <f>'13. Water - Capex RAB'!E491</f>
        <v>0</v>
      </c>
      <c r="F491" s="61">
        <f>'13. Water - Capex RAB'!F491</f>
        <v>0</v>
      </c>
      <c r="G491" s="61">
        <f>'13. Water - Capex RAB'!G491</f>
        <v>0</v>
      </c>
      <c r="H491" s="61">
        <f>'13. Water - Capex RAB'!H491</f>
        <v>0</v>
      </c>
    </row>
    <row r="492" spans="2:8">
      <c r="B492" s="152">
        <f t="shared" si="26"/>
        <v>0</v>
      </c>
      <c r="D492" s="61">
        <f>'13. Water - Capex RAB'!D492</f>
        <v>0</v>
      </c>
      <c r="E492" s="61">
        <f>'13. Water - Capex RAB'!E492</f>
        <v>0</v>
      </c>
      <c r="F492" s="61">
        <f>'13. Water - Capex RAB'!F492</f>
        <v>0</v>
      </c>
      <c r="G492" s="61">
        <f>'13. Water - Capex RAB'!G492</f>
        <v>0</v>
      </c>
      <c r="H492" s="61">
        <f>'13. Water - Capex RAB'!H492</f>
        <v>0</v>
      </c>
    </row>
    <row r="493" spans="2:8">
      <c r="B493" s="152">
        <f t="shared" si="26"/>
        <v>0</v>
      </c>
      <c r="D493" s="61">
        <f>'13. Water - Capex RAB'!D493</f>
        <v>0</v>
      </c>
      <c r="E493" s="61">
        <f>'13. Water - Capex RAB'!E493</f>
        <v>0</v>
      </c>
      <c r="F493" s="61">
        <f>'13. Water - Capex RAB'!F493</f>
        <v>0</v>
      </c>
      <c r="G493" s="61">
        <f>'13. Water - Capex RAB'!G493</f>
        <v>0</v>
      </c>
      <c r="H493" s="61">
        <f>'13. Water - Capex RAB'!H493</f>
        <v>0</v>
      </c>
    </row>
    <row r="494" spans="2:8">
      <c r="B494" s="152">
        <f t="shared" si="26"/>
        <v>0</v>
      </c>
      <c r="D494" s="61">
        <f>'13. Water - Capex RAB'!D494</f>
        <v>0</v>
      </c>
      <c r="E494" s="61">
        <f>'13. Water - Capex RAB'!E494</f>
        <v>0</v>
      </c>
      <c r="F494" s="61">
        <f>'13. Water - Capex RAB'!F494</f>
        <v>0</v>
      </c>
      <c r="G494" s="61">
        <f>'13. Water - Capex RAB'!G494</f>
        <v>0</v>
      </c>
      <c r="H494" s="61">
        <f>'13. Water - Capex RAB'!H494</f>
        <v>0</v>
      </c>
    </row>
    <row r="495" spans="2:8">
      <c r="B495" s="152">
        <f t="shared" si="26"/>
        <v>0</v>
      </c>
      <c r="D495" s="61">
        <f>'13. Water - Capex RAB'!D495</f>
        <v>0</v>
      </c>
      <c r="E495" s="61">
        <f>'13. Water - Capex RAB'!E495</f>
        <v>0</v>
      </c>
      <c r="F495" s="61">
        <f>'13. Water - Capex RAB'!F495</f>
        <v>0</v>
      </c>
      <c r="G495" s="61">
        <f>'13. Water - Capex RAB'!G495</f>
        <v>0</v>
      </c>
      <c r="H495" s="61">
        <f>'13. Water - Capex RAB'!H495</f>
        <v>0</v>
      </c>
    </row>
    <row r="496" spans="2:8">
      <c r="B496" s="152">
        <f t="shared" si="26"/>
        <v>0</v>
      </c>
      <c r="D496" s="61">
        <f>'13. Water - Capex RAB'!D496</f>
        <v>0</v>
      </c>
      <c r="E496" s="61">
        <f>'13. Water - Capex RAB'!E496</f>
        <v>0</v>
      </c>
      <c r="F496" s="61">
        <f>'13. Water - Capex RAB'!F496</f>
        <v>0</v>
      </c>
      <c r="G496" s="61">
        <f>'13. Water - Capex RAB'!G496</f>
        <v>0</v>
      </c>
      <c r="H496" s="61">
        <f>'13. Water - Capex RAB'!H496</f>
        <v>0</v>
      </c>
    </row>
    <row r="497" spans="2:8">
      <c r="B497" s="152">
        <f t="shared" si="26"/>
        <v>0</v>
      </c>
      <c r="D497" s="61">
        <f>'13. Water - Capex RAB'!D497</f>
        <v>0</v>
      </c>
      <c r="E497" s="61">
        <f>'13. Water - Capex RAB'!E497</f>
        <v>0</v>
      </c>
      <c r="F497" s="61">
        <f>'13. Water - Capex RAB'!F497</f>
        <v>0</v>
      </c>
      <c r="G497" s="61">
        <f>'13. Water - Capex RAB'!G497</f>
        <v>0</v>
      </c>
      <c r="H497" s="61">
        <f>'13. Water - Capex RAB'!H497</f>
        <v>0</v>
      </c>
    </row>
    <row r="498" spans="2:8">
      <c r="B498" s="152">
        <f t="shared" si="26"/>
        <v>0</v>
      </c>
      <c r="D498" s="61">
        <f>'13. Water - Capex RAB'!D498</f>
        <v>0</v>
      </c>
      <c r="E498" s="61">
        <f>'13. Water - Capex RAB'!E498</f>
        <v>0</v>
      </c>
      <c r="F498" s="61">
        <f>'13. Water - Capex RAB'!F498</f>
        <v>0</v>
      </c>
      <c r="G498" s="61">
        <f>'13. Water - Capex RAB'!G498</f>
        <v>0</v>
      </c>
      <c r="H498" s="61">
        <f>'13. Water - Capex RAB'!H498</f>
        <v>0</v>
      </c>
    </row>
    <row r="499" spans="2:8">
      <c r="B499" s="152">
        <f t="shared" si="26"/>
        <v>0</v>
      </c>
      <c r="D499" s="61">
        <f>'13. Water - Capex RAB'!D499</f>
        <v>0</v>
      </c>
      <c r="E499" s="61">
        <f>'13. Water - Capex RAB'!E499</f>
        <v>0</v>
      </c>
      <c r="F499" s="61">
        <f>'13. Water - Capex RAB'!F499</f>
        <v>0</v>
      </c>
      <c r="G499" s="61">
        <f>'13. Water - Capex RAB'!G499</f>
        <v>0</v>
      </c>
      <c r="H499" s="61">
        <f>'13. Water - Capex RAB'!H499</f>
        <v>0</v>
      </c>
    </row>
    <row r="500" spans="2:8">
      <c r="B500" s="152">
        <f t="shared" si="26"/>
        <v>0</v>
      </c>
      <c r="D500" s="61">
        <f>'13. Water - Capex RAB'!D500</f>
        <v>0</v>
      </c>
      <c r="E500" s="61">
        <f>'13. Water - Capex RAB'!E500</f>
        <v>0</v>
      </c>
      <c r="F500" s="61">
        <f>'13. Water - Capex RAB'!F500</f>
        <v>0</v>
      </c>
      <c r="G500" s="61">
        <f>'13. Water - Capex RAB'!G500</f>
        <v>0</v>
      </c>
      <c r="H500" s="61">
        <f>'13. Water - Capex RAB'!H500</f>
        <v>0</v>
      </c>
    </row>
    <row r="501" spans="2:8">
      <c r="B501" s="152">
        <f t="shared" si="26"/>
        <v>0</v>
      </c>
      <c r="D501" s="61">
        <f>'13. Water - Capex RAB'!D501</f>
        <v>0</v>
      </c>
      <c r="E501" s="61">
        <f>'13. Water - Capex RAB'!E501</f>
        <v>0</v>
      </c>
      <c r="F501" s="61">
        <f>'13. Water - Capex RAB'!F501</f>
        <v>0</v>
      </c>
      <c r="G501" s="61">
        <f>'13. Water - Capex RAB'!G501</f>
        <v>0</v>
      </c>
      <c r="H501" s="61">
        <f>'13. Water - Capex RAB'!H501</f>
        <v>0</v>
      </c>
    </row>
    <row r="502" spans="2:8">
      <c r="B502" s="152">
        <f t="shared" si="26"/>
        <v>0</v>
      </c>
      <c r="D502" s="61">
        <f>'13. Water - Capex RAB'!D502</f>
        <v>0</v>
      </c>
      <c r="E502" s="61">
        <f>'13. Water - Capex RAB'!E502</f>
        <v>0</v>
      </c>
      <c r="F502" s="61">
        <f>'13. Water - Capex RAB'!F502</f>
        <v>0</v>
      </c>
      <c r="G502" s="61">
        <f>'13. Water - Capex RAB'!G502</f>
        <v>0</v>
      </c>
      <c r="H502" s="61">
        <f>'13. Water - Capex RAB'!H502</f>
        <v>0</v>
      </c>
    </row>
    <row r="503" spans="2:8">
      <c r="B503" s="152">
        <f t="shared" si="26"/>
        <v>0</v>
      </c>
      <c r="D503" s="61">
        <f>'13. Water - Capex RAB'!D503</f>
        <v>0</v>
      </c>
      <c r="E503" s="61">
        <f>'13. Water - Capex RAB'!E503</f>
        <v>0</v>
      </c>
      <c r="F503" s="61">
        <f>'13. Water - Capex RAB'!F503</f>
        <v>0</v>
      </c>
      <c r="G503" s="61">
        <f>'13. Water - Capex RAB'!G503</f>
        <v>0</v>
      </c>
      <c r="H503" s="61">
        <f>'13. Water - Capex RAB'!H503</f>
        <v>0</v>
      </c>
    </row>
    <row r="504" spans="2:8">
      <c r="B504" s="152">
        <f t="shared" si="26"/>
        <v>0</v>
      </c>
      <c r="D504" s="61">
        <f>'13. Water - Capex RAB'!D504</f>
        <v>0</v>
      </c>
      <c r="E504" s="61">
        <f>'13. Water - Capex RAB'!E504</f>
        <v>0</v>
      </c>
      <c r="F504" s="61">
        <f>'13. Water - Capex RAB'!F504</f>
        <v>0</v>
      </c>
      <c r="G504" s="61">
        <f>'13. Water - Capex RAB'!G504</f>
        <v>0</v>
      </c>
      <c r="H504" s="61">
        <f>'13. Water - Capex RAB'!H504</f>
        <v>0</v>
      </c>
    </row>
    <row r="505" spans="2:8">
      <c r="B505" s="152">
        <f t="shared" si="26"/>
        <v>0</v>
      </c>
      <c r="D505" s="61">
        <f>'13. Water - Capex RAB'!D505</f>
        <v>0</v>
      </c>
      <c r="E505" s="61">
        <f>'13. Water - Capex RAB'!E505</f>
        <v>0</v>
      </c>
      <c r="F505" s="61">
        <f>'13. Water - Capex RAB'!F505</f>
        <v>0</v>
      </c>
      <c r="G505" s="61">
        <f>'13. Water - Capex RAB'!G505</f>
        <v>0</v>
      </c>
      <c r="H505" s="61">
        <f>'13. Water - Capex RAB'!H505</f>
        <v>0</v>
      </c>
    </row>
    <row r="506" spans="2:8">
      <c r="B506" s="152">
        <f t="shared" si="26"/>
        <v>0</v>
      </c>
      <c r="D506" s="61">
        <f>'13. Water - Capex RAB'!D506</f>
        <v>0</v>
      </c>
      <c r="E506" s="61">
        <f>'13. Water - Capex RAB'!E506</f>
        <v>0</v>
      </c>
      <c r="F506" s="61">
        <f>'13. Water - Capex RAB'!F506</f>
        <v>0</v>
      </c>
      <c r="G506" s="61">
        <f>'13. Water - Capex RAB'!G506</f>
        <v>0</v>
      </c>
      <c r="H506" s="61">
        <f>'13. Water - Capex RAB'!H506</f>
        <v>0</v>
      </c>
    </row>
    <row r="507" spans="2:8">
      <c r="B507" s="152">
        <f t="shared" si="26"/>
        <v>0</v>
      </c>
      <c r="D507" s="61">
        <f>'13. Water - Capex RAB'!D507</f>
        <v>0</v>
      </c>
      <c r="E507" s="61">
        <f>'13. Water - Capex RAB'!E507</f>
        <v>0</v>
      </c>
      <c r="F507" s="61">
        <f>'13. Water - Capex RAB'!F507</f>
        <v>0</v>
      </c>
      <c r="G507" s="61">
        <f>'13. Water - Capex RAB'!G507</f>
        <v>0</v>
      </c>
      <c r="H507" s="61">
        <f>'13. Water - Capex RAB'!H507</f>
        <v>0</v>
      </c>
    </row>
    <row r="508" spans="2:8">
      <c r="B508" s="152">
        <f t="shared" si="26"/>
        <v>0</v>
      </c>
      <c r="D508" s="61">
        <f>'13. Water - Capex RAB'!D508</f>
        <v>0</v>
      </c>
      <c r="E508" s="61">
        <f>'13. Water - Capex RAB'!E508</f>
        <v>0</v>
      </c>
      <c r="F508" s="61">
        <f>'13. Water - Capex RAB'!F508</f>
        <v>0</v>
      </c>
      <c r="G508" s="61">
        <f>'13. Water - Capex RAB'!G508</f>
        <v>0</v>
      </c>
      <c r="H508" s="61">
        <f>'13. Water - Capex RAB'!H508</f>
        <v>0</v>
      </c>
    </row>
    <row r="509" spans="2:8">
      <c r="B509" s="152">
        <f t="shared" si="26"/>
        <v>0</v>
      </c>
      <c r="D509" s="61">
        <f>'13. Water - Capex RAB'!D509</f>
        <v>0</v>
      </c>
      <c r="E509" s="61">
        <f>'13. Water - Capex RAB'!E509</f>
        <v>0</v>
      </c>
      <c r="F509" s="61">
        <f>'13. Water - Capex RAB'!F509</f>
        <v>0</v>
      </c>
      <c r="G509" s="61">
        <f>'13. Water - Capex RAB'!G509</f>
        <v>0</v>
      </c>
      <c r="H509" s="61">
        <f>'13. Water - Capex RAB'!H509</f>
        <v>0</v>
      </c>
    </row>
    <row r="510" spans="2:8">
      <c r="B510" s="152">
        <f t="shared" si="26"/>
        <v>0</v>
      </c>
      <c r="D510" s="61">
        <f>'13. Water - Capex RAB'!D510</f>
        <v>0</v>
      </c>
      <c r="E510" s="61">
        <f>'13. Water - Capex RAB'!E510</f>
        <v>0</v>
      </c>
      <c r="F510" s="61">
        <f>'13. Water - Capex RAB'!F510</f>
        <v>0</v>
      </c>
      <c r="G510" s="61">
        <f>'13. Water - Capex RAB'!G510</f>
        <v>0</v>
      </c>
      <c r="H510" s="61">
        <f>'13. Water - Capex RAB'!H510</f>
        <v>0</v>
      </c>
    </row>
    <row r="511" spans="2:8">
      <c r="B511" s="152">
        <f t="shared" si="26"/>
        <v>0</v>
      </c>
      <c r="D511" s="61">
        <f>'13. Water - Capex RAB'!D511</f>
        <v>0</v>
      </c>
      <c r="E511" s="61">
        <f>'13. Water - Capex RAB'!E511</f>
        <v>0</v>
      </c>
      <c r="F511" s="61">
        <f>'13. Water - Capex RAB'!F511</f>
        <v>0</v>
      </c>
      <c r="G511" s="61">
        <f>'13. Water - Capex RAB'!G511</f>
        <v>0</v>
      </c>
      <c r="H511" s="61">
        <f>'13. Water - Capex RAB'!H511</f>
        <v>0</v>
      </c>
    </row>
    <row r="512" spans="2:8">
      <c r="B512" s="152">
        <f t="shared" si="26"/>
        <v>0</v>
      </c>
      <c r="D512" s="61">
        <f>'13. Water - Capex RAB'!D512</f>
        <v>0</v>
      </c>
      <c r="E512" s="61">
        <f>'13. Water - Capex RAB'!E512</f>
        <v>0</v>
      </c>
      <c r="F512" s="61">
        <f>'13. Water - Capex RAB'!F512</f>
        <v>0</v>
      </c>
      <c r="G512" s="61">
        <f>'13. Water - Capex RAB'!G512</f>
        <v>0</v>
      </c>
      <c r="H512" s="61">
        <f>'13. Water - Capex RAB'!H512</f>
        <v>0</v>
      </c>
    </row>
    <row r="513" spans="2:8">
      <c r="B513" s="152">
        <f t="shared" si="26"/>
        <v>0</v>
      </c>
      <c r="D513" s="61">
        <f>'13. Water - Capex RAB'!D513</f>
        <v>0</v>
      </c>
      <c r="E513" s="61">
        <f>'13. Water - Capex RAB'!E513</f>
        <v>0</v>
      </c>
      <c r="F513" s="61">
        <f>'13. Water - Capex RAB'!F513</f>
        <v>0</v>
      </c>
      <c r="G513" s="61">
        <f>'13. Water - Capex RAB'!G513</f>
        <v>0</v>
      </c>
      <c r="H513" s="61">
        <f>'13. Water - Capex RAB'!H513</f>
        <v>0</v>
      </c>
    </row>
    <row r="514" spans="2:8">
      <c r="B514" s="152">
        <f t="shared" si="26"/>
        <v>0</v>
      </c>
      <c r="D514" s="61">
        <f>'13. Water - Capex RAB'!D514</f>
        <v>0</v>
      </c>
      <c r="E514" s="61">
        <f>'13. Water - Capex RAB'!E514</f>
        <v>0</v>
      </c>
      <c r="F514" s="61">
        <f>'13. Water - Capex RAB'!F514</f>
        <v>0</v>
      </c>
      <c r="G514" s="61">
        <f>'13. Water - Capex RAB'!G514</f>
        <v>0</v>
      </c>
      <c r="H514" s="61">
        <f>'13. Water - Capex RAB'!H514</f>
        <v>0</v>
      </c>
    </row>
    <row r="515" spans="2:8">
      <c r="B515" s="152">
        <f t="shared" si="26"/>
        <v>0</v>
      </c>
      <c r="D515" s="61">
        <f>'13. Water - Capex RAB'!D515</f>
        <v>0</v>
      </c>
      <c r="E515" s="61">
        <f>'13. Water - Capex RAB'!E515</f>
        <v>0</v>
      </c>
      <c r="F515" s="61">
        <f>'13. Water - Capex RAB'!F515</f>
        <v>0</v>
      </c>
      <c r="G515" s="61">
        <f>'13. Water - Capex RAB'!G515</f>
        <v>0</v>
      </c>
      <c r="H515" s="61">
        <f>'13. Water - Capex RAB'!H515</f>
        <v>0</v>
      </c>
    </row>
    <row r="516" spans="2:8">
      <c r="B516" s="152">
        <f t="shared" si="26"/>
        <v>0</v>
      </c>
      <c r="D516" s="61">
        <f>'13. Water - Capex RAB'!D516</f>
        <v>0</v>
      </c>
      <c r="E516" s="61">
        <f>'13. Water - Capex RAB'!E516</f>
        <v>0</v>
      </c>
      <c r="F516" s="61">
        <f>'13. Water - Capex RAB'!F516</f>
        <v>0</v>
      </c>
      <c r="G516" s="61">
        <f>'13. Water - Capex RAB'!G516</f>
        <v>0</v>
      </c>
      <c r="H516" s="61">
        <f>'13. Water - Capex RAB'!H516</f>
        <v>0</v>
      </c>
    </row>
    <row r="517" spans="2:8">
      <c r="B517" s="152">
        <f t="shared" si="26"/>
        <v>0</v>
      </c>
      <c r="D517" s="61">
        <f>'13. Water - Capex RAB'!D517</f>
        <v>0</v>
      </c>
      <c r="E517" s="61">
        <f>'13. Water - Capex RAB'!E517</f>
        <v>0</v>
      </c>
      <c r="F517" s="61">
        <f>'13. Water - Capex RAB'!F517</f>
        <v>0</v>
      </c>
      <c r="G517" s="61">
        <f>'13. Water - Capex RAB'!G517</f>
        <v>0</v>
      </c>
      <c r="H517" s="61">
        <f>'13. Water - Capex RAB'!H517</f>
        <v>0</v>
      </c>
    </row>
    <row r="518" spans="2:8">
      <c r="B518" s="152">
        <f t="shared" si="26"/>
        <v>0</v>
      </c>
      <c r="D518" s="61">
        <f>'13. Water - Capex RAB'!D518</f>
        <v>0</v>
      </c>
      <c r="E518" s="61">
        <f>'13. Water - Capex RAB'!E518</f>
        <v>0</v>
      </c>
      <c r="F518" s="61">
        <f>'13. Water - Capex RAB'!F518</f>
        <v>0</v>
      </c>
      <c r="G518" s="61">
        <f>'13. Water - Capex RAB'!G518</f>
        <v>0</v>
      </c>
      <c r="H518" s="61">
        <f>'13. Water - Capex RAB'!H518</f>
        <v>0</v>
      </c>
    </row>
    <row r="519" spans="2:8">
      <c r="B519" s="152">
        <f t="shared" si="26"/>
        <v>0</v>
      </c>
      <c r="D519" s="61">
        <f>'13. Water - Capex RAB'!D519</f>
        <v>0</v>
      </c>
      <c r="E519" s="61">
        <f>'13. Water - Capex RAB'!E519</f>
        <v>0</v>
      </c>
      <c r="F519" s="61">
        <f>'13. Water - Capex RAB'!F519</f>
        <v>0</v>
      </c>
      <c r="G519" s="61">
        <f>'13. Water - Capex RAB'!G519</f>
        <v>0</v>
      </c>
      <c r="H519" s="61">
        <f>'13. Water - Capex RAB'!H519</f>
        <v>0</v>
      </c>
    </row>
    <row r="520" spans="2:8">
      <c r="B520" s="152">
        <f t="shared" si="26"/>
        <v>0</v>
      </c>
      <c r="D520" s="61">
        <f>'13. Water - Capex RAB'!D520</f>
        <v>0</v>
      </c>
      <c r="E520" s="61">
        <f>'13. Water - Capex RAB'!E520</f>
        <v>0</v>
      </c>
      <c r="F520" s="61">
        <f>'13. Water - Capex RAB'!F520</f>
        <v>0</v>
      </c>
      <c r="G520" s="61">
        <f>'13. Water - Capex RAB'!G520</f>
        <v>0</v>
      </c>
      <c r="H520" s="61">
        <f>'13. Water - Capex RAB'!H520</f>
        <v>0</v>
      </c>
    </row>
    <row r="521" spans="2:8">
      <c r="B521" s="152">
        <f t="shared" si="26"/>
        <v>0</v>
      </c>
      <c r="D521" s="61">
        <f>'13. Water - Capex RAB'!D521</f>
        <v>0</v>
      </c>
      <c r="E521" s="61">
        <f>'13. Water - Capex RAB'!E521</f>
        <v>0</v>
      </c>
      <c r="F521" s="61">
        <f>'13. Water - Capex RAB'!F521</f>
        <v>0</v>
      </c>
      <c r="G521" s="61">
        <f>'13. Water - Capex RAB'!G521</f>
        <v>0</v>
      </c>
      <c r="H521" s="61">
        <f>'13. Water - Capex RAB'!H521</f>
        <v>0</v>
      </c>
    </row>
    <row r="522" spans="2:8">
      <c r="B522" s="152">
        <f t="shared" ref="B522:B575" si="27">B336</f>
        <v>0</v>
      </c>
      <c r="D522" s="61">
        <f>'13. Water - Capex RAB'!D522</f>
        <v>0</v>
      </c>
      <c r="E522" s="61">
        <f>'13. Water - Capex RAB'!E522</f>
        <v>0</v>
      </c>
      <c r="F522" s="61">
        <f>'13. Water - Capex RAB'!F522</f>
        <v>0</v>
      </c>
      <c r="G522" s="61">
        <f>'13. Water - Capex RAB'!G522</f>
        <v>0</v>
      </c>
      <c r="H522" s="61">
        <f>'13. Water - Capex RAB'!H522</f>
        <v>0</v>
      </c>
    </row>
    <row r="523" spans="2:8">
      <c r="B523" s="152">
        <f t="shared" si="27"/>
        <v>0</v>
      </c>
      <c r="D523" s="61">
        <f>'13. Water - Capex RAB'!D523</f>
        <v>0</v>
      </c>
      <c r="E523" s="61">
        <f>'13. Water - Capex RAB'!E523</f>
        <v>0</v>
      </c>
      <c r="F523" s="61">
        <f>'13. Water - Capex RAB'!F523</f>
        <v>0</v>
      </c>
      <c r="G523" s="61">
        <f>'13. Water - Capex RAB'!G523</f>
        <v>0</v>
      </c>
      <c r="H523" s="61">
        <f>'13. Water - Capex RAB'!H523</f>
        <v>0</v>
      </c>
    </row>
    <row r="524" spans="2:8">
      <c r="B524" s="152">
        <f t="shared" si="27"/>
        <v>0</v>
      </c>
      <c r="D524" s="61">
        <f>'13. Water - Capex RAB'!D524</f>
        <v>0</v>
      </c>
      <c r="E524" s="61">
        <f>'13. Water - Capex RAB'!E524</f>
        <v>0</v>
      </c>
      <c r="F524" s="61">
        <f>'13. Water - Capex RAB'!F524</f>
        <v>0</v>
      </c>
      <c r="G524" s="61">
        <f>'13. Water - Capex RAB'!G524</f>
        <v>0</v>
      </c>
      <c r="H524" s="61">
        <f>'13. Water - Capex RAB'!H524</f>
        <v>0</v>
      </c>
    </row>
    <row r="525" spans="2:8">
      <c r="B525" s="152">
        <f t="shared" si="27"/>
        <v>0</v>
      </c>
      <c r="D525" s="61">
        <f>'13. Water - Capex RAB'!D525</f>
        <v>0</v>
      </c>
      <c r="E525" s="61">
        <f>'13. Water - Capex RAB'!E525</f>
        <v>0</v>
      </c>
      <c r="F525" s="61">
        <f>'13. Water - Capex RAB'!F525</f>
        <v>0</v>
      </c>
      <c r="G525" s="61">
        <f>'13. Water - Capex RAB'!G525</f>
        <v>0</v>
      </c>
      <c r="H525" s="61">
        <f>'13. Water - Capex RAB'!H525</f>
        <v>0</v>
      </c>
    </row>
    <row r="526" spans="2:8">
      <c r="B526" s="152">
        <f t="shared" si="27"/>
        <v>0</v>
      </c>
      <c r="D526" s="61">
        <f>'13. Water - Capex RAB'!D526</f>
        <v>0</v>
      </c>
      <c r="E526" s="61">
        <f>'13. Water - Capex RAB'!E526</f>
        <v>0</v>
      </c>
      <c r="F526" s="61">
        <f>'13. Water - Capex RAB'!F526</f>
        <v>0</v>
      </c>
      <c r="G526" s="61">
        <f>'13. Water - Capex RAB'!G526</f>
        <v>0</v>
      </c>
      <c r="H526" s="61">
        <f>'13. Water - Capex RAB'!H526</f>
        <v>0</v>
      </c>
    </row>
    <row r="527" spans="2:8">
      <c r="B527" s="152">
        <f t="shared" si="27"/>
        <v>0</v>
      </c>
      <c r="D527" s="61">
        <f>'13. Water - Capex RAB'!D527</f>
        <v>0</v>
      </c>
      <c r="E527" s="61">
        <f>'13. Water - Capex RAB'!E527</f>
        <v>0</v>
      </c>
      <c r="F527" s="61">
        <f>'13. Water - Capex RAB'!F527</f>
        <v>0</v>
      </c>
      <c r="G527" s="61">
        <f>'13. Water - Capex RAB'!G527</f>
        <v>0</v>
      </c>
      <c r="H527" s="61">
        <f>'13. Water - Capex RAB'!H527</f>
        <v>0</v>
      </c>
    </row>
    <row r="528" spans="2:8">
      <c r="B528" s="152">
        <f t="shared" si="27"/>
        <v>0</v>
      </c>
      <c r="D528" s="61">
        <f>'13. Water - Capex RAB'!D528</f>
        <v>0</v>
      </c>
      <c r="E528" s="61">
        <f>'13. Water - Capex RAB'!E528</f>
        <v>0</v>
      </c>
      <c r="F528" s="61">
        <f>'13. Water - Capex RAB'!F528</f>
        <v>0</v>
      </c>
      <c r="G528" s="61">
        <f>'13. Water - Capex RAB'!G528</f>
        <v>0</v>
      </c>
      <c r="H528" s="61">
        <f>'13. Water - Capex RAB'!H528</f>
        <v>0</v>
      </c>
    </row>
    <row r="529" spans="2:8">
      <c r="B529" s="152">
        <f t="shared" si="27"/>
        <v>0</v>
      </c>
      <c r="D529" s="61">
        <f>'13. Water - Capex RAB'!D529</f>
        <v>0</v>
      </c>
      <c r="E529" s="61">
        <f>'13. Water - Capex RAB'!E529</f>
        <v>0</v>
      </c>
      <c r="F529" s="61">
        <f>'13. Water - Capex RAB'!F529</f>
        <v>0</v>
      </c>
      <c r="G529" s="61">
        <f>'13. Water - Capex RAB'!G529</f>
        <v>0</v>
      </c>
      <c r="H529" s="61">
        <f>'13. Water - Capex RAB'!H529</f>
        <v>0</v>
      </c>
    </row>
    <row r="530" spans="2:8">
      <c r="B530" s="152">
        <f t="shared" si="27"/>
        <v>0</v>
      </c>
      <c r="D530" s="61">
        <f>'13. Water - Capex RAB'!D530</f>
        <v>0</v>
      </c>
      <c r="E530" s="61">
        <f>'13. Water - Capex RAB'!E530</f>
        <v>0</v>
      </c>
      <c r="F530" s="61">
        <f>'13. Water - Capex RAB'!F530</f>
        <v>0</v>
      </c>
      <c r="G530" s="61">
        <f>'13. Water - Capex RAB'!G530</f>
        <v>0</v>
      </c>
      <c r="H530" s="61">
        <f>'13. Water - Capex RAB'!H530</f>
        <v>0</v>
      </c>
    </row>
    <row r="531" spans="2:8">
      <c r="B531" s="152">
        <f t="shared" si="27"/>
        <v>0</v>
      </c>
      <c r="D531" s="61">
        <f>'13. Water - Capex RAB'!D531</f>
        <v>0</v>
      </c>
      <c r="E531" s="61">
        <f>'13. Water - Capex RAB'!E531</f>
        <v>0</v>
      </c>
      <c r="F531" s="61">
        <f>'13. Water - Capex RAB'!F531</f>
        <v>0</v>
      </c>
      <c r="G531" s="61">
        <f>'13. Water - Capex RAB'!G531</f>
        <v>0</v>
      </c>
      <c r="H531" s="61">
        <f>'13. Water - Capex RAB'!H531</f>
        <v>0</v>
      </c>
    </row>
    <row r="532" spans="2:8">
      <c r="B532" s="152">
        <f t="shared" si="27"/>
        <v>0</v>
      </c>
      <c r="D532" s="61">
        <f>'13. Water - Capex RAB'!D532</f>
        <v>0</v>
      </c>
      <c r="E532" s="61">
        <f>'13. Water - Capex RAB'!E532</f>
        <v>0</v>
      </c>
      <c r="F532" s="61">
        <f>'13. Water - Capex RAB'!F532</f>
        <v>0</v>
      </c>
      <c r="G532" s="61">
        <f>'13. Water - Capex RAB'!G532</f>
        <v>0</v>
      </c>
      <c r="H532" s="61">
        <f>'13. Water - Capex RAB'!H532</f>
        <v>0</v>
      </c>
    </row>
    <row r="533" spans="2:8">
      <c r="B533" s="152">
        <f t="shared" si="27"/>
        <v>0</v>
      </c>
      <c r="D533" s="61">
        <f>'13. Water - Capex RAB'!D533</f>
        <v>0</v>
      </c>
      <c r="E533" s="61">
        <f>'13. Water - Capex RAB'!E533</f>
        <v>0</v>
      </c>
      <c r="F533" s="61">
        <f>'13. Water - Capex RAB'!F533</f>
        <v>0</v>
      </c>
      <c r="G533" s="61">
        <f>'13. Water - Capex RAB'!G533</f>
        <v>0</v>
      </c>
      <c r="H533" s="61">
        <f>'13. Water - Capex RAB'!H533</f>
        <v>0</v>
      </c>
    </row>
    <row r="534" spans="2:8">
      <c r="B534" s="152">
        <f t="shared" si="27"/>
        <v>0</v>
      </c>
      <c r="D534" s="61">
        <f>'13. Water - Capex RAB'!D534</f>
        <v>0</v>
      </c>
      <c r="E534" s="61">
        <f>'13. Water - Capex RAB'!E534</f>
        <v>0</v>
      </c>
      <c r="F534" s="61">
        <f>'13. Water - Capex RAB'!F534</f>
        <v>0</v>
      </c>
      <c r="G534" s="61">
        <f>'13. Water - Capex RAB'!G534</f>
        <v>0</v>
      </c>
      <c r="H534" s="61">
        <f>'13. Water - Capex RAB'!H534</f>
        <v>0</v>
      </c>
    </row>
    <row r="535" spans="2:8">
      <c r="B535" s="152">
        <f t="shared" si="27"/>
        <v>0</v>
      </c>
      <c r="D535" s="61">
        <f>'13. Water - Capex RAB'!D535</f>
        <v>0</v>
      </c>
      <c r="E535" s="61">
        <f>'13. Water - Capex RAB'!E535</f>
        <v>0</v>
      </c>
      <c r="F535" s="61">
        <f>'13. Water - Capex RAB'!F535</f>
        <v>0</v>
      </c>
      <c r="G535" s="61">
        <f>'13. Water - Capex RAB'!G535</f>
        <v>0</v>
      </c>
      <c r="H535" s="61">
        <f>'13. Water - Capex RAB'!H535</f>
        <v>0</v>
      </c>
    </row>
    <row r="536" spans="2:8">
      <c r="B536" s="152">
        <f t="shared" si="27"/>
        <v>0</v>
      </c>
      <c r="D536" s="61">
        <f>'13. Water - Capex RAB'!D536</f>
        <v>0</v>
      </c>
      <c r="E536" s="61">
        <f>'13. Water - Capex RAB'!E536</f>
        <v>0</v>
      </c>
      <c r="F536" s="61">
        <f>'13. Water - Capex RAB'!F536</f>
        <v>0</v>
      </c>
      <c r="G536" s="61">
        <f>'13. Water - Capex RAB'!G536</f>
        <v>0</v>
      </c>
      <c r="H536" s="61">
        <f>'13. Water - Capex RAB'!H536</f>
        <v>0</v>
      </c>
    </row>
    <row r="537" spans="2:8">
      <c r="B537" s="152">
        <f t="shared" si="27"/>
        <v>0</v>
      </c>
      <c r="D537" s="61">
        <f>'13. Water - Capex RAB'!D537</f>
        <v>0</v>
      </c>
      <c r="E537" s="61">
        <f>'13. Water - Capex RAB'!E537</f>
        <v>0</v>
      </c>
      <c r="F537" s="61">
        <f>'13. Water - Capex RAB'!F537</f>
        <v>0</v>
      </c>
      <c r="G537" s="61">
        <f>'13. Water - Capex RAB'!G537</f>
        <v>0</v>
      </c>
      <c r="H537" s="61">
        <f>'13. Water - Capex RAB'!H537</f>
        <v>0</v>
      </c>
    </row>
    <row r="538" spans="2:8">
      <c r="B538" s="152">
        <f t="shared" si="27"/>
        <v>0</v>
      </c>
      <c r="D538" s="61">
        <f>'13. Water - Capex RAB'!D538</f>
        <v>0</v>
      </c>
      <c r="E538" s="61">
        <f>'13. Water - Capex RAB'!E538</f>
        <v>0</v>
      </c>
      <c r="F538" s="61">
        <f>'13. Water - Capex RAB'!F538</f>
        <v>0</v>
      </c>
      <c r="G538" s="61">
        <f>'13. Water - Capex RAB'!G538</f>
        <v>0</v>
      </c>
      <c r="H538" s="61">
        <f>'13. Water - Capex RAB'!H538</f>
        <v>0</v>
      </c>
    </row>
    <row r="539" spans="2:8">
      <c r="B539" s="152">
        <f t="shared" si="27"/>
        <v>0</v>
      </c>
      <c r="D539" s="61">
        <f>'13. Water - Capex RAB'!D539</f>
        <v>0</v>
      </c>
      <c r="E539" s="61">
        <f>'13. Water - Capex RAB'!E539</f>
        <v>0</v>
      </c>
      <c r="F539" s="61">
        <f>'13. Water - Capex RAB'!F539</f>
        <v>0</v>
      </c>
      <c r="G539" s="61">
        <f>'13. Water - Capex RAB'!G539</f>
        <v>0</v>
      </c>
      <c r="H539" s="61">
        <f>'13. Water - Capex RAB'!H539</f>
        <v>0</v>
      </c>
    </row>
    <row r="540" spans="2:8">
      <c r="B540" s="152">
        <f t="shared" si="27"/>
        <v>0</v>
      </c>
      <c r="D540" s="61">
        <f>'13. Water - Capex RAB'!D540</f>
        <v>0</v>
      </c>
      <c r="E540" s="61">
        <f>'13. Water - Capex RAB'!E540</f>
        <v>0</v>
      </c>
      <c r="F540" s="61">
        <f>'13. Water - Capex RAB'!F540</f>
        <v>0</v>
      </c>
      <c r="G540" s="61">
        <f>'13. Water - Capex RAB'!G540</f>
        <v>0</v>
      </c>
      <c r="H540" s="61">
        <f>'13. Water - Capex RAB'!H540</f>
        <v>0</v>
      </c>
    </row>
    <row r="541" spans="2:8">
      <c r="B541" s="152">
        <f t="shared" si="27"/>
        <v>0</v>
      </c>
      <c r="D541" s="61">
        <f>'13. Water - Capex RAB'!D541</f>
        <v>0</v>
      </c>
      <c r="E541" s="61">
        <f>'13. Water - Capex RAB'!E541</f>
        <v>0</v>
      </c>
      <c r="F541" s="61">
        <f>'13. Water - Capex RAB'!F541</f>
        <v>0</v>
      </c>
      <c r="G541" s="61">
        <f>'13. Water - Capex RAB'!G541</f>
        <v>0</v>
      </c>
      <c r="H541" s="61">
        <f>'13. Water - Capex RAB'!H541</f>
        <v>0</v>
      </c>
    </row>
    <row r="542" spans="2:8">
      <c r="B542" s="152">
        <f t="shared" si="27"/>
        <v>0</v>
      </c>
      <c r="D542" s="61">
        <f>'13. Water - Capex RAB'!D542</f>
        <v>0</v>
      </c>
      <c r="E542" s="61">
        <f>'13. Water - Capex RAB'!E542</f>
        <v>0</v>
      </c>
      <c r="F542" s="61">
        <f>'13. Water - Capex RAB'!F542</f>
        <v>0</v>
      </c>
      <c r="G542" s="61">
        <f>'13. Water - Capex RAB'!G542</f>
        <v>0</v>
      </c>
      <c r="H542" s="61">
        <f>'13. Water - Capex RAB'!H542</f>
        <v>0</v>
      </c>
    </row>
    <row r="543" spans="2:8">
      <c r="B543" s="152">
        <f t="shared" si="27"/>
        <v>0</v>
      </c>
      <c r="D543" s="61">
        <f>'13. Water - Capex RAB'!D543</f>
        <v>0</v>
      </c>
      <c r="E543" s="61">
        <f>'13. Water - Capex RAB'!E543</f>
        <v>0</v>
      </c>
      <c r="F543" s="61">
        <f>'13. Water - Capex RAB'!F543</f>
        <v>0</v>
      </c>
      <c r="G543" s="61">
        <f>'13. Water - Capex RAB'!G543</f>
        <v>0</v>
      </c>
      <c r="H543" s="61">
        <f>'13. Water - Capex RAB'!H543</f>
        <v>0</v>
      </c>
    </row>
    <row r="544" spans="2:8">
      <c r="B544" s="152">
        <f t="shared" si="27"/>
        <v>0</v>
      </c>
      <c r="D544" s="61">
        <f>'13. Water - Capex RAB'!D544</f>
        <v>0</v>
      </c>
      <c r="E544" s="61">
        <f>'13. Water - Capex RAB'!E544</f>
        <v>0</v>
      </c>
      <c r="F544" s="61">
        <f>'13. Water - Capex RAB'!F544</f>
        <v>0</v>
      </c>
      <c r="G544" s="61">
        <f>'13. Water - Capex RAB'!G544</f>
        <v>0</v>
      </c>
      <c r="H544" s="61">
        <f>'13. Water - Capex RAB'!H544</f>
        <v>0</v>
      </c>
    </row>
    <row r="545" spans="2:8">
      <c r="B545" s="152">
        <f t="shared" si="27"/>
        <v>0</v>
      </c>
      <c r="D545" s="61">
        <f>'13. Water - Capex RAB'!D545</f>
        <v>0</v>
      </c>
      <c r="E545" s="61">
        <f>'13. Water - Capex RAB'!E545</f>
        <v>0</v>
      </c>
      <c r="F545" s="61">
        <f>'13. Water - Capex RAB'!F545</f>
        <v>0</v>
      </c>
      <c r="G545" s="61">
        <f>'13. Water - Capex RAB'!G545</f>
        <v>0</v>
      </c>
      <c r="H545" s="61">
        <f>'13. Water - Capex RAB'!H545</f>
        <v>0</v>
      </c>
    </row>
    <row r="546" spans="2:8">
      <c r="B546" s="152">
        <f t="shared" si="27"/>
        <v>0</v>
      </c>
      <c r="D546" s="61">
        <f>'13. Water - Capex RAB'!D546</f>
        <v>0</v>
      </c>
      <c r="E546" s="61">
        <f>'13. Water - Capex RAB'!E546</f>
        <v>0</v>
      </c>
      <c r="F546" s="61">
        <f>'13. Water - Capex RAB'!F546</f>
        <v>0</v>
      </c>
      <c r="G546" s="61">
        <f>'13. Water - Capex RAB'!G546</f>
        <v>0</v>
      </c>
      <c r="H546" s="61">
        <f>'13. Water - Capex RAB'!H546</f>
        <v>0</v>
      </c>
    </row>
    <row r="547" spans="2:8">
      <c r="B547" s="152">
        <f t="shared" si="27"/>
        <v>0</v>
      </c>
      <c r="D547" s="61">
        <f>'13. Water - Capex RAB'!D547</f>
        <v>0</v>
      </c>
      <c r="E547" s="61">
        <f>'13. Water - Capex RAB'!E547</f>
        <v>0</v>
      </c>
      <c r="F547" s="61">
        <f>'13. Water - Capex RAB'!F547</f>
        <v>0</v>
      </c>
      <c r="G547" s="61">
        <f>'13. Water - Capex RAB'!G547</f>
        <v>0</v>
      </c>
      <c r="H547" s="61">
        <f>'13. Water - Capex RAB'!H547</f>
        <v>0</v>
      </c>
    </row>
    <row r="548" spans="2:8">
      <c r="B548" s="152">
        <f t="shared" si="27"/>
        <v>0</v>
      </c>
      <c r="D548" s="61">
        <f>'13. Water - Capex RAB'!D548</f>
        <v>0</v>
      </c>
      <c r="E548" s="61">
        <f>'13. Water - Capex RAB'!E548</f>
        <v>0</v>
      </c>
      <c r="F548" s="61">
        <f>'13. Water - Capex RAB'!F548</f>
        <v>0</v>
      </c>
      <c r="G548" s="61">
        <f>'13. Water - Capex RAB'!G548</f>
        <v>0</v>
      </c>
      <c r="H548" s="61">
        <f>'13. Water - Capex RAB'!H548</f>
        <v>0</v>
      </c>
    </row>
    <row r="549" spans="2:8">
      <c r="B549" s="152">
        <f t="shared" si="27"/>
        <v>0</v>
      </c>
      <c r="D549" s="61">
        <f>'13. Water - Capex RAB'!D549</f>
        <v>0</v>
      </c>
      <c r="E549" s="61">
        <f>'13. Water - Capex RAB'!E549</f>
        <v>0</v>
      </c>
      <c r="F549" s="61">
        <f>'13. Water - Capex RAB'!F549</f>
        <v>0</v>
      </c>
      <c r="G549" s="61">
        <f>'13. Water - Capex RAB'!G549</f>
        <v>0</v>
      </c>
      <c r="H549" s="61">
        <f>'13. Water - Capex RAB'!H549</f>
        <v>0</v>
      </c>
    </row>
    <row r="550" spans="2:8">
      <c r="B550" s="152">
        <f t="shared" si="27"/>
        <v>0</v>
      </c>
      <c r="D550" s="61">
        <f>'13. Water - Capex RAB'!D550</f>
        <v>0</v>
      </c>
      <c r="E550" s="61">
        <f>'13. Water - Capex RAB'!E550</f>
        <v>0</v>
      </c>
      <c r="F550" s="61">
        <f>'13. Water - Capex RAB'!F550</f>
        <v>0</v>
      </c>
      <c r="G550" s="61">
        <f>'13. Water - Capex RAB'!G550</f>
        <v>0</v>
      </c>
      <c r="H550" s="61">
        <f>'13. Water - Capex RAB'!H550</f>
        <v>0</v>
      </c>
    </row>
    <row r="551" spans="2:8">
      <c r="B551" s="152">
        <f t="shared" si="27"/>
        <v>0</v>
      </c>
      <c r="D551" s="61">
        <f>'13. Water - Capex RAB'!D551</f>
        <v>0</v>
      </c>
      <c r="E551" s="61">
        <f>'13. Water - Capex RAB'!E551</f>
        <v>0</v>
      </c>
      <c r="F551" s="61">
        <f>'13. Water - Capex RAB'!F551</f>
        <v>0</v>
      </c>
      <c r="G551" s="61">
        <f>'13. Water - Capex RAB'!G551</f>
        <v>0</v>
      </c>
      <c r="H551" s="61">
        <f>'13. Water - Capex RAB'!H551</f>
        <v>0</v>
      </c>
    </row>
    <row r="552" spans="2:8">
      <c r="B552" s="152">
        <f t="shared" si="27"/>
        <v>0</v>
      </c>
      <c r="D552" s="61">
        <f>'13. Water - Capex RAB'!D552</f>
        <v>0</v>
      </c>
      <c r="E552" s="61">
        <f>'13. Water - Capex RAB'!E552</f>
        <v>0</v>
      </c>
      <c r="F552" s="61">
        <f>'13. Water - Capex RAB'!F552</f>
        <v>0</v>
      </c>
      <c r="G552" s="61">
        <f>'13. Water - Capex RAB'!G552</f>
        <v>0</v>
      </c>
      <c r="H552" s="61">
        <f>'13. Water - Capex RAB'!H552</f>
        <v>0</v>
      </c>
    </row>
    <row r="553" spans="2:8">
      <c r="B553" s="152">
        <f t="shared" si="27"/>
        <v>0</v>
      </c>
      <c r="D553" s="61">
        <f>'13. Water - Capex RAB'!D553</f>
        <v>0</v>
      </c>
      <c r="E553" s="61">
        <f>'13. Water - Capex RAB'!E553</f>
        <v>0</v>
      </c>
      <c r="F553" s="61">
        <f>'13. Water - Capex RAB'!F553</f>
        <v>0</v>
      </c>
      <c r="G553" s="61">
        <f>'13. Water - Capex RAB'!G553</f>
        <v>0</v>
      </c>
      <c r="H553" s="61">
        <f>'13. Water - Capex RAB'!H553</f>
        <v>0</v>
      </c>
    </row>
    <row r="554" spans="2:8">
      <c r="B554" s="152">
        <f t="shared" si="27"/>
        <v>0</v>
      </c>
      <c r="D554" s="61">
        <f>'13. Water - Capex RAB'!D554</f>
        <v>0</v>
      </c>
      <c r="E554" s="61">
        <f>'13. Water - Capex RAB'!E554</f>
        <v>0</v>
      </c>
      <c r="F554" s="61">
        <f>'13. Water - Capex RAB'!F554</f>
        <v>0</v>
      </c>
      <c r="G554" s="61">
        <f>'13. Water - Capex RAB'!G554</f>
        <v>0</v>
      </c>
      <c r="H554" s="61">
        <f>'13. Water - Capex RAB'!H554</f>
        <v>0</v>
      </c>
    </row>
    <row r="555" spans="2:8">
      <c r="B555" s="152">
        <f t="shared" si="27"/>
        <v>0</v>
      </c>
      <c r="D555" s="61">
        <f>'13. Water - Capex RAB'!D555</f>
        <v>0</v>
      </c>
      <c r="E555" s="61">
        <f>'13. Water - Capex RAB'!E555</f>
        <v>0</v>
      </c>
      <c r="F555" s="61">
        <f>'13. Water - Capex RAB'!F555</f>
        <v>0</v>
      </c>
      <c r="G555" s="61">
        <f>'13. Water - Capex RAB'!G555</f>
        <v>0</v>
      </c>
      <c r="H555" s="61">
        <f>'13. Water - Capex RAB'!H555</f>
        <v>0</v>
      </c>
    </row>
    <row r="556" spans="2:8">
      <c r="B556" s="152">
        <f t="shared" si="27"/>
        <v>0</v>
      </c>
      <c r="D556" s="61">
        <f>'13. Water - Capex RAB'!D556</f>
        <v>0</v>
      </c>
      <c r="E556" s="61">
        <f>'13. Water - Capex RAB'!E556</f>
        <v>0</v>
      </c>
      <c r="F556" s="61">
        <f>'13. Water - Capex RAB'!F556</f>
        <v>0</v>
      </c>
      <c r="G556" s="61">
        <f>'13. Water - Capex RAB'!G556</f>
        <v>0</v>
      </c>
      <c r="H556" s="61">
        <f>'13. Water - Capex RAB'!H556</f>
        <v>0</v>
      </c>
    </row>
    <row r="557" spans="2:8">
      <c r="B557" s="152">
        <f t="shared" si="27"/>
        <v>0</v>
      </c>
      <c r="D557" s="61">
        <f>'13. Water - Capex RAB'!D557</f>
        <v>0</v>
      </c>
      <c r="E557" s="61">
        <f>'13. Water - Capex RAB'!E557</f>
        <v>0</v>
      </c>
      <c r="F557" s="61">
        <f>'13. Water - Capex RAB'!F557</f>
        <v>0</v>
      </c>
      <c r="G557" s="61">
        <f>'13. Water - Capex RAB'!G557</f>
        <v>0</v>
      </c>
      <c r="H557" s="61">
        <f>'13. Water - Capex RAB'!H557</f>
        <v>0</v>
      </c>
    </row>
    <row r="558" spans="2:8">
      <c r="B558" s="152">
        <f t="shared" si="27"/>
        <v>0</v>
      </c>
      <c r="D558" s="61">
        <f>'13. Water - Capex RAB'!D558</f>
        <v>0</v>
      </c>
      <c r="E558" s="61">
        <f>'13. Water - Capex RAB'!E558</f>
        <v>0</v>
      </c>
      <c r="F558" s="61">
        <f>'13. Water - Capex RAB'!F558</f>
        <v>0</v>
      </c>
      <c r="G558" s="61">
        <f>'13. Water - Capex RAB'!G558</f>
        <v>0</v>
      </c>
      <c r="H558" s="61">
        <f>'13. Water - Capex RAB'!H558</f>
        <v>0</v>
      </c>
    </row>
    <row r="559" spans="2:8">
      <c r="B559" s="152">
        <f t="shared" si="27"/>
        <v>0</v>
      </c>
      <c r="D559" s="61">
        <f>'13. Water - Capex RAB'!D559</f>
        <v>0</v>
      </c>
      <c r="E559" s="61">
        <f>'13. Water - Capex RAB'!E559</f>
        <v>0</v>
      </c>
      <c r="F559" s="61">
        <f>'13. Water - Capex RAB'!F559</f>
        <v>0</v>
      </c>
      <c r="G559" s="61">
        <f>'13. Water - Capex RAB'!G559</f>
        <v>0</v>
      </c>
      <c r="H559" s="61">
        <f>'13. Water - Capex RAB'!H559</f>
        <v>0</v>
      </c>
    </row>
    <row r="560" spans="2:8">
      <c r="B560" s="152">
        <f t="shared" si="27"/>
        <v>0</v>
      </c>
      <c r="D560" s="61">
        <f>'13. Water - Capex RAB'!D560</f>
        <v>0</v>
      </c>
      <c r="E560" s="61">
        <f>'13. Water - Capex RAB'!E560</f>
        <v>0</v>
      </c>
      <c r="F560" s="61">
        <f>'13. Water - Capex RAB'!F560</f>
        <v>0</v>
      </c>
      <c r="G560" s="61">
        <f>'13. Water - Capex RAB'!G560</f>
        <v>0</v>
      </c>
      <c r="H560" s="61">
        <f>'13. Water - Capex RAB'!H560</f>
        <v>0</v>
      </c>
    </row>
    <row r="561" spans="2:8">
      <c r="B561" s="152">
        <f t="shared" si="27"/>
        <v>0</v>
      </c>
      <c r="D561" s="61">
        <f>'13. Water - Capex RAB'!D561</f>
        <v>0</v>
      </c>
      <c r="E561" s="61">
        <f>'13. Water - Capex RAB'!E561</f>
        <v>0</v>
      </c>
      <c r="F561" s="61">
        <f>'13. Water - Capex RAB'!F561</f>
        <v>0</v>
      </c>
      <c r="G561" s="61">
        <f>'13. Water - Capex RAB'!G561</f>
        <v>0</v>
      </c>
      <c r="H561" s="61">
        <f>'13. Water - Capex RAB'!H561</f>
        <v>0</v>
      </c>
    </row>
    <row r="562" spans="2:8">
      <c r="B562" s="152">
        <f t="shared" si="27"/>
        <v>0</v>
      </c>
      <c r="D562" s="61">
        <f>'13. Water - Capex RAB'!D562</f>
        <v>0</v>
      </c>
      <c r="E562" s="61">
        <f>'13. Water - Capex RAB'!E562</f>
        <v>0</v>
      </c>
      <c r="F562" s="61">
        <f>'13. Water - Capex RAB'!F562</f>
        <v>0</v>
      </c>
      <c r="G562" s="61">
        <f>'13. Water - Capex RAB'!G562</f>
        <v>0</v>
      </c>
      <c r="H562" s="61">
        <f>'13. Water - Capex RAB'!H562</f>
        <v>0</v>
      </c>
    </row>
    <row r="563" spans="2:8">
      <c r="B563" s="152">
        <f t="shared" si="27"/>
        <v>0</v>
      </c>
      <c r="D563" s="61">
        <f>'13. Water - Capex RAB'!D563</f>
        <v>0</v>
      </c>
      <c r="E563" s="61">
        <f>'13. Water - Capex RAB'!E563</f>
        <v>0</v>
      </c>
      <c r="F563" s="61">
        <f>'13. Water - Capex RAB'!F563</f>
        <v>0</v>
      </c>
      <c r="G563" s="61">
        <f>'13. Water - Capex RAB'!G563</f>
        <v>0</v>
      </c>
      <c r="H563" s="61">
        <f>'13. Water - Capex RAB'!H563</f>
        <v>0</v>
      </c>
    </row>
    <row r="564" spans="2:8">
      <c r="B564" s="152">
        <f t="shared" si="27"/>
        <v>0</v>
      </c>
      <c r="D564" s="61">
        <f>'13. Water - Capex RAB'!D564</f>
        <v>0</v>
      </c>
      <c r="E564" s="61">
        <f>'13. Water - Capex RAB'!E564</f>
        <v>0</v>
      </c>
      <c r="F564" s="61">
        <f>'13. Water - Capex RAB'!F564</f>
        <v>0</v>
      </c>
      <c r="G564" s="61">
        <f>'13. Water - Capex RAB'!G564</f>
        <v>0</v>
      </c>
      <c r="H564" s="61">
        <f>'13. Water - Capex RAB'!H564</f>
        <v>0</v>
      </c>
    </row>
    <row r="565" spans="2:8">
      <c r="B565" s="152">
        <f t="shared" si="27"/>
        <v>0</v>
      </c>
      <c r="D565" s="61">
        <f>'13. Water - Capex RAB'!D565</f>
        <v>0</v>
      </c>
      <c r="E565" s="61">
        <f>'13. Water - Capex RAB'!E565</f>
        <v>0</v>
      </c>
      <c r="F565" s="61">
        <f>'13. Water - Capex RAB'!F565</f>
        <v>0</v>
      </c>
      <c r="G565" s="61">
        <f>'13. Water - Capex RAB'!G565</f>
        <v>0</v>
      </c>
      <c r="H565" s="61">
        <f>'13. Water - Capex RAB'!H565</f>
        <v>0</v>
      </c>
    </row>
    <row r="566" spans="2:8">
      <c r="B566" s="152">
        <f t="shared" si="27"/>
        <v>0</v>
      </c>
      <c r="D566" s="61">
        <f>'13. Water - Capex RAB'!D566</f>
        <v>0</v>
      </c>
      <c r="E566" s="61">
        <f>'13. Water - Capex RAB'!E566</f>
        <v>0</v>
      </c>
      <c r="F566" s="61">
        <f>'13. Water - Capex RAB'!F566</f>
        <v>0</v>
      </c>
      <c r="G566" s="61">
        <f>'13. Water - Capex RAB'!G566</f>
        <v>0</v>
      </c>
      <c r="H566" s="61">
        <f>'13. Water - Capex RAB'!H566</f>
        <v>0</v>
      </c>
    </row>
    <row r="567" spans="2:8">
      <c r="B567" s="152">
        <f t="shared" si="27"/>
        <v>0</v>
      </c>
      <c r="D567" s="61">
        <f>'13. Water - Capex RAB'!D567</f>
        <v>0</v>
      </c>
      <c r="E567" s="61">
        <f>'13. Water - Capex RAB'!E567</f>
        <v>0</v>
      </c>
      <c r="F567" s="61">
        <f>'13. Water - Capex RAB'!F567</f>
        <v>0</v>
      </c>
      <c r="G567" s="61">
        <f>'13. Water - Capex RAB'!G567</f>
        <v>0</v>
      </c>
      <c r="H567" s="61">
        <f>'13. Water - Capex RAB'!H567</f>
        <v>0</v>
      </c>
    </row>
    <row r="568" spans="2:8">
      <c r="B568" s="152">
        <f t="shared" si="27"/>
        <v>0</v>
      </c>
      <c r="D568" s="61">
        <f>'13. Water - Capex RAB'!D568</f>
        <v>0</v>
      </c>
      <c r="E568" s="61">
        <f>'13. Water - Capex RAB'!E568</f>
        <v>0</v>
      </c>
      <c r="F568" s="61">
        <f>'13. Water - Capex RAB'!F568</f>
        <v>0</v>
      </c>
      <c r="G568" s="61">
        <f>'13. Water - Capex RAB'!G568</f>
        <v>0</v>
      </c>
      <c r="H568" s="61">
        <f>'13. Water - Capex RAB'!H568</f>
        <v>0</v>
      </c>
    </row>
    <row r="569" spans="2:8">
      <c r="B569" s="152">
        <f t="shared" si="27"/>
        <v>0</v>
      </c>
      <c r="D569" s="61">
        <f>'13. Water - Capex RAB'!D569</f>
        <v>0</v>
      </c>
      <c r="E569" s="61">
        <f>'13. Water - Capex RAB'!E569</f>
        <v>0</v>
      </c>
      <c r="F569" s="61">
        <f>'13. Water - Capex RAB'!F569</f>
        <v>0</v>
      </c>
      <c r="G569" s="61">
        <f>'13. Water - Capex RAB'!G569</f>
        <v>0</v>
      </c>
      <c r="H569" s="61">
        <f>'13. Water - Capex RAB'!H569</f>
        <v>0</v>
      </c>
    </row>
    <row r="570" spans="2:8">
      <c r="B570" s="152">
        <f t="shared" si="27"/>
        <v>0</v>
      </c>
      <c r="D570" s="61">
        <f>'13. Water - Capex RAB'!D570</f>
        <v>0</v>
      </c>
      <c r="E570" s="61">
        <f>'13. Water - Capex RAB'!E570</f>
        <v>0</v>
      </c>
      <c r="F570" s="61">
        <f>'13. Water - Capex RAB'!F570</f>
        <v>0</v>
      </c>
      <c r="G570" s="61">
        <f>'13. Water - Capex RAB'!G570</f>
        <v>0</v>
      </c>
      <c r="H570" s="61">
        <f>'13. Water - Capex RAB'!H570</f>
        <v>0</v>
      </c>
    </row>
    <row r="571" spans="2:8">
      <c r="B571" s="152">
        <f t="shared" si="27"/>
        <v>0</v>
      </c>
      <c r="D571" s="61">
        <f>'13. Water - Capex RAB'!D571</f>
        <v>0</v>
      </c>
      <c r="E571" s="61">
        <f>'13. Water - Capex RAB'!E571</f>
        <v>0</v>
      </c>
      <c r="F571" s="61">
        <f>'13. Water - Capex RAB'!F571</f>
        <v>0</v>
      </c>
      <c r="G571" s="61">
        <f>'13. Water - Capex RAB'!G571</f>
        <v>0</v>
      </c>
      <c r="H571" s="61">
        <f>'13. Water - Capex RAB'!H571</f>
        <v>0</v>
      </c>
    </row>
    <row r="572" spans="2:8">
      <c r="B572" s="152">
        <f t="shared" si="27"/>
        <v>0</v>
      </c>
      <c r="D572" s="61">
        <f>'13. Water - Capex RAB'!D572</f>
        <v>0</v>
      </c>
      <c r="E572" s="61">
        <f>'13. Water - Capex RAB'!E572</f>
        <v>0</v>
      </c>
      <c r="F572" s="61">
        <f>'13. Water - Capex RAB'!F572</f>
        <v>0</v>
      </c>
      <c r="G572" s="61">
        <f>'13. Water - Capex RAB'!G572</f>
        <v>0</v>
      </c>
      <c r="H572" s="61">
        <f>'13. Water - Capex RAB'!H572</f>
        <v>0</v>
      </c>
    </row>
    <row r="573" spans="2:8">
      <c r="B573" s="152">
        <f t="shared" si="27"/>
        <v>0</v>
      </c>
      <c r="D573" s="61">
        <f>'13. Water - Capex RAB'!D573</f>
        <v>0</v>
      </c>
      <c r="E573" s="61">
        <f>'13. Water - Capex RAB'!E573</f>
        <v>0</v>
      </c>
      <c r="F573" s="61">
        <f>'13. Water - Capex RAB'!F573</f>
        <v>0</v>
      </c>
      <c r="G573" s="61">
        <f>'13. Water - Capex RAB'!G573</f>
        <v>0</v>
      </c>
      <c r="H573" s="61">
        <f>'13. Water - Capex RAB'!H573</f>
        <v>0</v>
      </c>
    </row>
    <row r="574" spans="2:8">
      <c r="B574" s="2" t="str">
        <f t="shared" si="27"/>
        <v>Carndo Year 4 Reduction</v>
      </c>
      <c r="D574" s="61">
        <f>'13. Water - Capex RAB'!D574</f>
        <v>0</v>
      </c>
      <c r="E574" s="61">
        <f>'13. Water - Capex RAB'!E574</f>
        <v>0</v>
      </c>
      <c r="F574" s="61">
        <f>'13. Water - Capex RAB'!F574</f>
        <v>0</v>
      </c>
      <c r="G574" s="61">
        <f>'13. Water - Capex RAB'!G574</f>
        <v>0</v>
      </c>
      <c r="H574" s="61">
        <f>'13. Water - Capex RAB'!H574</f>
        <v>0</v>
      </c>
    </row>
    <row r="575" spans="2:8">
      <c r="B575" s="2" t="str">
        <f t="shared" si="27"/>
        <v>Carndo Year 5 Reduction</v>
      </c>
      <c r="D575" s="61">
        <f>'13. Water - Capex RAB'!D575</f>
        <v>0</v>
      </c>
      <c r="E575" s="61">
        <f>'13. Water - Capex RAB'!E575</f>
        <v>0</v>
      </c>
      <c r="F575" s="61">
        <f>'13. Water - Capex RAB'!F575</f>
        <v>0</v>
      </c>
      <c r="G575" s="61">
        <f>'13. Water - Capex RAB'!G575</f>
        <v>0</v>
      </c>
      <c r="H575" s="61">
        <f>'13. Water - Capex RAB'!H575</f>
        <v>0</v>
      </c>
    </row>
    <row r="576" spans="2:8">
      <c r="B576" s="2" t="s">
        <v>52</v>
      </c>
      <c r="D576" s="48">
        <f>SUM(D393:D575)</f>
        <v>0</v>
      </c>
      <c r="E576" s="48">
        <f>SUM(E393:E575)</f>
        <v>0</v>
      </c>
      <c r="F576" s="48">
        <f>SUM(F393:F575)</f>
        <v>0</v>
      </c>
      <c r="G576" s="48">
        <f>SUM(G393:G575)</f>
        <v>0</v>
      </c>
      <c r="H576" s="48">
        <f>SUM(H393:H575)</f>
        <v>0</v>
      </c>
    </row>
    <row r="577" spans="2:8">
      <c r="D577" s="70"/>
      <c r="E577" s="70"/>
      <c r="F577" s="70"/>
      <c r="G577" s="70"/>
      <c r="H577" s="70"/>
    </row>
    <row r="578" spans="2:8" ht="15.75">
      <c r="B578" s="10" t="s">
        <v>18</v>
      </c>
      <c r="D578" s="30"/>
      <c r="E578" s="30"/>
      <c r="F578" s="30"/>
      <c r="G578" s="30"/>
      <c r="H578" s="30"/>
    </row>
    <row r="579" spans="2:8">
      <c r="B579" s="152">
        <f>B393</f>
        <v>0</v>
      </c>
      <c r="D579" s="30">
        <f>IF('11. Water - Capex Input'!$I5=D$3,'11. Water - Capex Input'!$J5,0)</f>
        <v>165541.26499999998</v>
      </c>
      <c r="E579" s="30">
        <f>IF('11. Water - Capex Input'!$I5=E$3,'11. Water - Capex Input'!$J5,0)</f>
        <v>0</v>
      </c>
      <c r="F579" s="30">
        <f>IF('11. Water - Capex Input'!$I5=F$3,'11. Water - Capex Input'!$J5,0)</f>
        <v>0</v>
      </c>
      <c r="G579" s="30">
        <f>IF('11. Water - Capex Input'!$I5=G$3,'11. Water - Capex Input'!$J5,0)</f>
        <v>0</v>
      </c>
      <c r="H579" s="30">
        <f>IF('11. Water - Capex Input'!$I5=H$3,'11. Water - Capex Input'!$J5,0)</f>
        <v>0</v>
      </c>
    </row>
    <row r="580" spans="2:8">
      <c r="B580" s="152">
        <f t="shared" ref="B580:B643" si="28">B394</f>
        <v>0</v>
      </c>
      <c r="D580" s="30">
        <f>IF('11. Water - Capex Input'!$I6=D$3,'11. Water - Capex Input'!$J6,0)</f>
        <v>0</v>
      </c>
      <c r="E580" s="30">
        <f>IF('11. Water - Capex Input'!$I6=E$3,'11. Water - Capex Input'!$J6,0)</f>
        <v>508985.67499999999</v>
      </c>
      <c r="F580" s="30">
        <f>IF('11. Water - Capex Input'!$I6=F$3,'11. Water - Capex Input'!$J6,0)</f>
        <v>0</v>
      </c>
      <c r="G580" s="30">
        <f>IF('11. Water - Capex Input'!$I6=G$3,'11. Water - Capex Input'!$J6,0)</f>
        <v>0</v>
      </c>
      <c r="H580" s="30">
        <f>IF('11. Water - Capex Input'!$I6=H$3,'11. Water - Capex Input'!$J6,0)</f>
        <v>0</v>
      </c>
    </row>
    <row r="581" spans="2:8">
      <c r="B581" s="152">
        <f t="shared" si="28"/>
        <v>0</v>
      </c>
      <c r="D581" s="30">
        <f>IF('11. Water - Capex Input'!$I7=D$3,'11. Water - Capex Input'!$J7,0)</f>
        <v>0</v>
      </c>
      <c r="E581" s="30">
        <f>IF('11. Water - Capex Input'!$I7=E$3,'11. Water - Capex Input'!$J7,0)</f>
        <v>0</v>
      </c>
      <c r="F581" s="30">
        <f>IF('11. Water - Capex Input'!$I7=F$3,'11. Water - Capex Input'!$J7,0)</f>
        <v>105433.5</v>
      </c>
      <c r="G581" s="30">
        <f>IF('11. Water - Capex Input'!$I7=G$3,'11. Water - Capex Input'!$J7,0)</f>
        <v>0</v>
      </c>
      <c r="H581" s="30">
        <f>IF('11. Water - Capex Input'!$I7=H$3,'11. Water - Capex Input'!$J7,0)</f>
        <v>0</v>
      </c>
    </row>
    <row r="582" spans="2:8">
      <c r="B582" s="152">
        <f t="shared" si="28"/>
        <v>0</v>
      </c>
      <c r="D582" s="30">
        <f>IF('11. Water - Capex Input'!$I8=D$3,'11. Water - Capex Input'!$J8,0)</f>
        <v>98315.540000000008</v>
      </c>
      <c r="E582" s="30">
        <f>IF('11. Water - Capex Input'!$I8=E$3,'11. Water - Capex Input'!$J8,0)</f>
        <v>0</v>
      </c>
      <c r="F582" s="30">
        <f>IF('11. Water - Capex Input'!$I8=F$3,'11. Water - Capex Input'!$J8,0)</f>
        <v>0</v>
      </c>
      <c r="G582" s="30">
        <f>IF('11. Water - Capex Input'!$I8=G$3,'11. Water - Capex Input'!$J8,0)</f>
        <v>0</v>
      </c>
      <c r="H582" s="30">
        <f>IF('11. Water - Capex Input'!$I8=H$3,'11. Water - Capex Input'!$J8,0)</f>
        <v>0</v>
      </c>
    </row>
    <row r="583" spans="2:8">
      <c r="B583" s="152">
        <f t="shared" si="28"/>
        <v>0</v>
      </c>
      <c r="D583" s="30">
        <f>IF('11. Water - Capex Input'!$I9=D$3,'11. Water - Capex Input'!$J9,0)</f>
        <v>0</v>
      </c>
      <c r="E583" s="30">
        <f>IF('11. Water - Capex Input'!$I9=E$3,'11. Water - Capex Input'!$J9,0)</f>
        <v>4229.0950000000003</v>
      </c>
      <c r="F583" s="30">
        <f>IF('11. Water - Capex Input'!$I9=F$3,'11. Water - Capex Input'!$J9,0)</f>
        <v>0</v>
      </c>
      <c r="G583" s="30">
        <f>IF('11. Water - Capex Input'!$I9=G$3,'11. Water - Capex Input'!$J9,0)</f>
        <v>0</v>
      </c>
      <c r="H583" s="30">
        <f>IF('11. Water - Capex Input'!$I9=H$3,'11. Water - Capex Input'!$J9,0)</f>
        <v>0</v>
      </c>
    </row>
    <row r="584" spans="2:8">
      <c r="B584" s="152">
        <f t="shared" si="28"/>
        <v>0</v>
      </c>
      <c r="D584" s="30">
        <f>IF('11. Water - Capex Input'!$I10=D$3,'11. Water - Capex Input'!$J10,0)</f>
        <v>273176.2</v>
      </c>
      <c r="E584" s="30">
        <f>IF('11. Water - Capex Input'!$I10=E$3,'11. Water - Capex Input'!$J10,0)</f>
        <v>0</v>
      </c>
      <c r="F584" s="30">
        <f>IF('11. Water - Capex Input'!$I10=F$3,'11. Water - Capex Input'!$J10,0)</f>
        <v>0</v>
      </c>
      <c r="G584" s="30">
        <f>IF('11. Water - Capex Input'!$I10=G$3,'11. Water - Capex Input'!$J10,0)</f>
        <v>0</v>
      </c>
      <c r="H584" s="30">
        <f>IF('11. Water - Capex Input'!$I10=H$3,'11. Water - Capex Input'!$J10,0)</f>
        <v>0</v>
      </c>
    </row>
    <row r="585" spans="2:8">
      <c r="B585" s="152">
        <f t="shared" si="28"/>
        <v>0</v>
      </c>
      <c r="D585" s="30">
        <f>IF('11. Water - Capex Input'!$I11=D$3,'11. Water - Capex Input'!$J11,0)</f>
        <v>0</v>
      </c>
      <c r="E585" s="30">
        <f>IF('11. Water - Capex Input'!$I11=E$3,'11. Water - Capex Input'!$J11,0)</f>
        <v>1836153.4933333334</v>
      </c>
      <c r="F585" s="30">
        <f>IF('11. Water - Capex Input'!$I11=F$3,'11. Water - Capex Input'!$J11,0)</f>
        <v>0</v>
      </c>
      <c r="G585" s="30">
        <f>IF('11. Water - Capex Input'!$I11=G$3,'11. Water - Capex Input'!$J11,0)</f>
        <v>0</v>
      </c>
      <c r="H585" s="30">
        <f>IF('11. Water - Capex Input'!$I11=H$3,'11. Water - Capex Input'!$J11,0)</f>
        <v>0</v>
      </c>
    </row>
    <row r="586" spans="2:8">
      <c r="B586" s="152">
        <f t="shared" si="28"/>
        <v>0</v>
      </c>
      <c r="D586" s="30">
        <f>IF('11. Water - Capex Input'!$I12=D$3,'11. Water - Capex Input'!$J12,0)</f>
        <v>0</v>
      </c>
      <c r="E586" s="30">
        <f>IF('11. Water - Capex Input'!$I12=E$3,'11. Water - Capex Input'!$J12,0)</f>
        <v>0</v>
      </c>
      <c r="F586" s="30">
        <f>IF('11. Water - Capex Input'!$I12=F$3,'11. Water - Capex Input'!$J12,0)</f>
        <v>4350000</v>
      </c>
      <c r="G586" s="30">
        <f>IF('11. Water - Capex Input'!$I12=G$3,'11. Water - Capex Input'!$J12,0)</f>
        <v>0</v>
      </c>
      <c r="H586" s="30">
        <f>IF('11. Water - Capex Input'!$I12=H$3,'11. Water - Capex Input'!$J12,0)</f>
        <v>0</v>
      </c>
    </row>
    <row r="587" spans="2:8">
      <c r="B587" s="152">
        <f t="shared" si="28"/>
        <v>0</v>
      </c>
      <c r="D587" s="30">
        <f>IF('11. Water - Capex Input'!$I13=D$3,'11. Water - Capex Input'!$J13,0)</f>
        <v>0</v>
      </c>
      <c r="E587" s="30">
        <f>IF('11. Water - Capex Input'!$I13=E$3,'11. Water - Capex Input'!$J13,0)</f>
        <v>0</v>
      </c>
      <c r="F587" s="30">
        <f>IF('11. Water - Capex Input'!$I13=F$3,'11. Water - Capex Input'!$J13,0)</f>
        <v>521846.8621056804</v>
      </c>
      <c r="G587" s="30">
        <f>IF('11. Water - Capex Input'!$I13=G$3,'11. Water - Capex Input'!$J13,0)</f>
        <v>0</v>
      </c>
      <c r="H587" s="30">
        <f>IF('11. Water - Capex Input'!$I13=H$3,'11. Water - Capex Input'!$J13,0)</f>
        <v>0</v>
      </c>
    </row>
    <row r="588" spans="2:8">
      <c r="B588" s="152">
        <f t="shared" si="28"/>
        <v>0</v>
      </c>
      <c r="D588" s="30">
        <f>IF('11. Water - Capex Input'!$I14=D$3,'11. Water - Capex Input'!$J14,0)</f>
        <v>0</v>
      </c>
      <c r="E588" s="30">
        <f>IF('11. Water - Capex Input'!$I14=E$3,'11. Water - Capex Input'!$J14,0)</f>
        <v>0</v>
      </c>
      <c r="F588" s="30">
        <f>IF('11. Water - Capex Input'!$I14=F$3,'11. Water - Capex Input'!$J14,0)</f>
        <v>0</v>
      </c>
      <c r="G588" s="30">
        <f>IF('11. Water - Capex Input'!$I14=G$3,'11. Water - Capex Input'!$J14,0)</f>
        <v>2677141.8377759494</v>
      </c>
      <c r="H588" s="30">
        <f>IF('11. Water - Capex Input'!$I14=H$3,'11. Water - Capex Input'!$J14,0)</f>
        <v>0</v>
      </c>
    </row>
    <row r="589" spans="2:8">
      <c r="B589" s="152">
        <f t="shared" si="28"/>
        <v>0</v>
      </c>
      <c r="D589" s="30">
        <f>IF('11. Water - Capex Input'!$I15=D$3,'11. Water - Capex Input'!$J15,0)</f>
        <v>0</v>
      </c>
      <c r="E589" s="30">
        <f>IF('11. Water - Capex Input'!$I15=E$3,'11. Water - Capex Input'!$J15,0)</f>
        <v>0</v>
      </c>
      <c r="F589" s="30">
        <f>IF('11. Water - Capex Input'!$I15=F$3,'11. Water - Capex Input'!$J15,0)</f>
        <v>0</v>
      </c>
      <c r="G589" s="30">
        <f>IF('11. Water - Capex Input'!$I15=G$3,'11. Water - Capex Input'!$J15,0)</f>
        <v>0</v>
      </c>
      <c r="H589" s="30">
        <f>IF('11. Water - Capex Input'!$I15=H$3,'11. Water - Capex Input'!$J15,0)</f>
        <v>11882775.912899405</v>
      </c>
    </row>
    <row r="590" spans="2:8">
      <c r="B590" s="152">
        <f t="shared" si="28"/>
        <v>0</v>
      </c>
      <c r="D590" s="30">
        <f>IF('11. Water - Capex Input'!$I16=D$3,'11. Water - Capex Input'!$J16,0)</f>
        <v>482376.97000000009</v>
      </c>
      <c r="E590" s="30">
        <f>IF('11. Water - Capex Input'!$I16=E$3,'11. Water - Capex Input'!$J16,0)</f>
        <v>0</v>
      </c>
      <c r="F590" s="30">
        <f>IF('11. Water - Capex Input'!$I16=F$3,'11. Water - Capex Input'!$J16,0)</f>
        <v>0</v>
      </c>
      <c r="G590" s="30">
        <f>IF('11. Water - Capex Input'!$I16=G$3,'11. Water - Capex Input'!$J16,0)</f>
        <v>0</v>
      </c>
      <c r="H590" s="30">
        <f>IF('11. Water - Capex Input'!$I16=H$3,'11. Water - Capex Input'!$J16,0)</f>
        <v>0</v>
      </c>
    </row>
    <row r="591" spans="2:8">
      <c r="B591" s="152">
        <f t="shared" si="28"/>
        <v>0</v>
      </c>
      <c r="D591" s="30">
        <f>IF('11. Water - Capex Input'!$I17=D$3,'11. Water - Capex Input'!$J17,0)</f>
        <v>0</v>
      </c>
      <c r="E591" s="30">
        <f>IF('11. Water - Capex Input'!$I17=E$3,'11. Water - Capex Input'!$J17,0)</f>
        <v>411071.86</v>
      </c>
      <c r="F591" s="30">
        <f>IF('11. Water - Capex Input'!$I17=F$3,'11. Water - Capex Input'!$J17,0)</f>
        <v>0</v>
      </c>
      <c r="G591" s="30">
        <f>IF('11. Water - Capex Input'!$I17=G$3,'11. Water - Capex Input'!$J17,0)</f>
        <v>0</v>
      </c>
      <c r="H591" s="30">
        <f>IF('11. Water - Capex Input'!$I17=H$3,'11. Water - Capex Input'!$J17,0)</f>
        <v>0</v>
      </c>
    </row>
    <row r="592" spans="2:8">
      <c r="B592" s="152">
        <f t="shared" si="28"/>
        <v>0</v>
      </c>
      <c r="D592" s="30">
        <f>IF('11. Water - Capex Input'!$I18=D$3,'11. Water - Capex Input'!$J18,0)</f>
        <v>0</v>
      </c>
      <c r="E592" s="30">
        <f>IF('11. Water - Capex Input'!$I18=E$3,'11. Water - Capex Input'!$J18,0)</f>
        <v>0</v>
      </c>
      <c r="F592" s="30">
        <f>IF('11. Water - Capex Input'!$I18=F$3,'11. Water - Capex Input'!$J18,0)</f>
        <v>2970694</v>
      </c>
      <c r="G592" s="30">
        <f>IF('11. Water - Capex Input'!$I18=G$3,'11. Water - Capex Input'!$J18,0)</f>
        <v>0</v>
      </c>
      <c r="H592" s="30">
        <f>IF('11. Water - Capex Input'!$I18=H$3,'11. Water - Capex Input'!$J18,0)</f>
        <v>0</v>
      </c>
    </row>
    <row r="593" spans="2:8">
      <c r="B593" s="152">
        <f t="shared" si="28"/>
        <v>0</v>
      </c>
      <c r="D593" s="30">
        <f>IF('11. Water - Capex Input'!$I19=D$3,'11. Water - Capex Input'!$J19,0)</f>
        <v>0</v>
      </c>
      <c r="E593" s="30">
        <f>IF('11. Water - Capex Input'!$I19=E$3,'11. Water - Capex Input'!$J19,0)</f>
        <v>0</v>
      </c>
      <c r="F593" s="30">
        <f>IF('11. Water - Capex Input'!$I19=F$3,'11. Water - Capex Input'!$J19,0)</f>
        <v>0</v>
      </c>
      <c r="G593" s="30">
        <f>IF('11. Water - Capex Input'!$I19=G$3,'11. Water - Capex Input'!$J19,0)</f>
        <v>3054266</v>
      </c>
      <c r="H593" s="30">
        <f>IF('11. Water - Capex Input'!$I19=H$3,'11. Water - Capex Input'!$J19,0)</f>
        <v>0</v>
      </c>
    </row>
    <row r="594" spans="2:8">
      <c r="B594" s="152">
        <f t="shared" si="28"/>
        <v>0</v>
      </c>
      <c r="D594" s="30">
        <f>IF('11. Water - Capex Input'!$I20=D$3,'11. Water - Capex Input'!$J20,0)</f>
        <v>0</v>
      </c>
      <c r="E594" s="30">
        <f>IF('11. Water - Capex Input'!$I20=E$3,'11. Water - Capex Input'!$J20,0)</f>
        <v>0</v>
      </c>
      <c r="F594" s="30">
        <f>IF('11. Water - Capex Input'!$I20=F$3,'11. Water - Capex Input'!$J20,0)</f>
        <v>0</v>
      </c>
      <c r="G594" s="30">
        <f>IF('11. Water - Capex Input'!$I20=G$3,'11. Water - Capex Input'!$J20,0)</f>
        <v>0</v>
      </c>
      <c r="H594" s="30">
        <f>IF('11. Water - Capex Input'!$I20=H$3,'11. Water - Capex Input'!$J20,0)</f>
        <v>3143269</v>
      </c>
    </row>
    <row r="595" spans="2:8">
      <c r="B595" s="152">
        <f t="shared" si="28"/>
        <v>0</v>
      </c>
      <c r="D595" s="30">
        <f>IF('11. Water - Capex Input'!$I21=D$3,'11. Water - Capex Input'!$J21,0)</f>
        <v>2512264.6</v>
      </c>
      <c r="E595" s="30">
        <f>IF('11. Water - Capex Input'!$I21=E$3,'11. Water - Capex Input'!$J21,0)</f>
        <v>0</v>
      </c>
      <c r="F595" s="30">
        <f>IF('11. Water - Capex Input'!$I21=F$3,'11. Water - Capex Input'!$J21,0)</f>
        <v>0</v>
      </c>
      <c r="G595" s="30">
        <f>IF('11. Water - Capex Input'!$I21=G$3,'11. Water - Capex Input'!$J21,0)</f>
        <v>0</v>
      </c>
      <c r="H595" s="30">
        <f>IF('11. Water - Capex Input'!$I21=H$3,'11. Water - Capex Input'!$J21,0)</f>
        <v>0</v>
      </c>
    </row>
    <row r="596" spans="2:8">
      <c r="B596" s="152">
        <f t="shared" si="28"/>
        <v>0</v>
      </c>
      <c r="D596" s="30">
        <f>IF('11. Water - Capex Input'!$I22=D$3,'11. Water - Capex Input'!$J22,0)</f>
        <v>0</v>
      </c>
      <c r="E596" s="30">
        <f>IF('11. Water - Capex Input'!$I22=E$3,'11. Water - Capex Input'!$J22,0)</f>
        <v>5316189.1900000004</v>
      </c>
      <c r="F596" s="30">
        <f>IF('11. Water - Capex Input'!$I22=F$3,'11. Water - Capex Input'!$J22,0)</f>
        <v>0</v>
      </c>
      <c r="G596" s="30">
        <f>IF('11. Water - Capex Input'!$I22=G$3,'11. Water - Capex Input'!$J22,0)</f>
        <v>0</v>
      </c>
      <c r="H596" s="30">
        <f>IF('11. Water - Capex Input'!$I22=H$3,'11. Water - Capex Input'!$J22,0)</f>
        <v>0</v>
      </c>
    </row>
    <row r="597" spans="2:8">
      <c r="B597" s="152">
        <f t="shared" si="28"/>
        <v>0</v>
      </c>
      <c r="D597" s="30">
        <f>IF('11. Water - Capex Input'!$I23=D$3,'11. Water - Capex Input'!$J23,0)</f>
        <v>0</v>
      </c>
      <c r="E597" s="30">
        <f>IF('11. Water - Capex Input'!$I23=E$3,'11. Water - Capex Input'!$J23,0)</f>
        <v>0</v>
      </c>
      <c r="F597" s="30">
        <f>IF('11. Water - Capex Input'!$I23=F$3,'11. Water - Capex Input'!$J23,0)</f>
        <v>1369073.8099999996</v>
      </c>
      <c r="G597" s="30">
        <f>IF('11. Water - Capex Input'!$I23=G$3,'11. Water - Capex Input'!$J23,0)</f>
        <v>0</v>
      </c>
      <c r="H597" s="30">
        <f>IF('11. Water - Capex Input'!$I23=H$3,'11. Water - Capex Input'!$J23,0)</f>
        <v>0</v>
      </c>
    </row>
    <row r="598" spans="2:8">
      <c r="B598" s="152">
        <f t="shared" si="28"/>
        <v>0</v>
      </c>
      <c r="D598" s="30">
        <f>IF('11. Water - Capex Input'!$I24=D$3,'11. Water - Capex Input'!$J24,0)</f>
        <v>0</v>
      </c>
      <c r="E598" s="30">
        <f>IF('11. Water - Capex Input'!$I24=E$3,'11. Water - Capex Input'!$J24,0)</f>
        <v>0</v>
      </c>
      <c r="F598" s="30">
        <f>IF('11. Water - Capex Input'!$I24=F$3,'11. Water - Capex Input'!$J24,0)</f>
        <v>1043693.7242113608</v>
      </c>
      <c r="G598" s="30">
        <f>IF('11. Water - Capex Input'!$I24=G$3,'11. Water - Capex Input'!$J24,0)</f>
        <v>0</v>
      </c>
      <c r="H598" s="30">
        <f>IF('11. Water - Capex Input'!$I24=H$3,'11. Water - Capex Input'!$J24,0)</f>
        <v>0</v>
      </c>
    </row>
    <row r="599" spans="2:8">
      <c r="B599" s="152">
        <f t="shared" si="28"/>
        <v>0</v>
      </c>
      <c r="D599" s="30">
        <f>IF('11. Water - Capex Input'!$I25=D$3,'11. Water - Capex Input'!$J25,0)</f>
        <v>0</v>
      </c>
      <c r="E599" s="30">
        <f>IF('11. Water - Capex Input'!$I25=E$3,'11. Water - Capex Input'!$J25,0)</f>
        <v>0</v>
      </c>
      <c r="F599" s="30">
        <f>IF('11. Water - Capex Input'!$I25=F$3,'11. Water - Capex Input'!$J25,0)</f>
        <v>0</v>
      </c>
      <c r="G599" s="30">
        <f>IF('11. Water - Capex Input'!$I25=G$3,'11. Water - Capex Input'!$J25,0)</f>
        <v>3212570.2053311393</v>
      </c>
      <c r="H599" s="30">
        <f>IF('11. Water - Capex Input'!$I25=H$3,'11. Water - Capex Input'!$J25,0)</f>
        <v>0</v>
      </c>
    </row>
    <row r="600" spans="2:8">
      <c r="B600" s="152">
        <f t="shared" si="28"/>
        <v>0</v>
      </c>
      <c r="D600" s="30">
        <f>IF('11. Water - Capex Input'!$I26=D$3,'11. Water - Capex Input'!$J26,0)</f>
        <v>0</v>
      </c>
      <c r="E600" s="30">
        <f>IF('11. Water - Capex Input'!$I26=E$3,'11. Water - Capex Input'!$J26,0)</f>
        <v>0</v>
      </c>
      <c r="F600" s="30">
        <f>IF('11. Water - Capex Input'!$I26=F$3,'11. Water - Capex Input'!$J26,0)</f>
        <v>0</v>
      </c>
      <c r="G600" s="30">
        <f>IF('11. Water - Capex Input'!$I26=G$3,'11. Water - Capex Input'!$J26,0)</f>
        <v>0</v>
      </c>
      <c r="H600" s="30">
        <f>IF('11. Water - Capex Input'!$I26=H$3,'11. Water - Capex Input'!$J26,0)</f>
        <v>4321009.4228725107</v>
      </c>
    </row>
    <row r="601" spans="2:8">
      <c r="B601" s="152">
        <f t="shared" si="28"/>
        <v>0</v>
      </c>
      <c r="D601" s="30">
        <f>IF('11. Water - Capex Input'!$I27=D$3,'11. Water - Capex Input'!$J27,0)</f>
        <v>0</v>
      </c>
      <c r="E601" s="30">
        <f>IF('11. Water - Capex Input'!$I27=E$3,'11. Water - Capex Input'!$J27,0)</f>
        <v>283901</v>
      </c>
      <c r="F601" s="30">
        <f>IF('11. Water - Capex Input'!$I27=F$3,'11. Water - Capex Input'!$J27,0)</f>
        <v>0</v>
      </c>
      <c r="G601" s="30">
        <f>IF('11. Water - Capex Input'!$I27=G$3,'11. Water - Capex Input'!$J27,0)</f>
        <v>0</v>
      </c>
      <c r="H601" s="30">
        <f>IF('11. Water - Capex Input'!$I27=H$3,'11. Water - Capex Input'!$J27,0)</f>
        <v>0</v>
      </c>
    </row>
    <row r="602" spans="2:8">
      <c r="B602" s="152">
        <f t="shared" si="28"/>
        <v>0</v>
      </c>
      <c r="D602" s="30">
        <f>IF('11. Water - Capex Input'!$I28=D$3,'11. Water - Capex Input'!$J28,0)</f>
        <v>0</v>
      </c>
      <c r="E602" s="30">
        <f>IF('11. Water - Capex Input'!$I28=E$3,'11. Water - Capex Input'!$J28,0)</f>
        <v>0</v>
      </c>
      <c r="F602" s="30">
        <f>IF('11. Water - Capex Input'!$I28=F$3,'11. Water - Capex Input'!$J28,0)</f>
        <v>459863</v>
      </c>
      <c r="G602" s="30">
        <f>IF('11. Water - Capex Input'!$I28=G$3,'11. Water - Capex Input'!$J28,0)</f>
        <v>0</v>
      </c>
      <c r="H602" s="30">
        <f>IF('11. Water - Capex Input'!$I28=H$3,'11. Water - Capex Input'!$J28,0)</f>
        <v>0</v>
      </c>
    </row>
    <row r="603" spans="2:8">
      <c r="B603" s="152">
        <f t="shared" si="28"/>
        <v>0</v>
      </c>
      <c r="D603" s="30">
        <f>IF('11. Water - Capex Input'!$I29=D$3,'11. Water - Capex Input'!$J29,0)</f>
        <v>0</v>
      </c>
      <c r="E603" s="30">
        <f>IF('11. Water - Capex Input'!$I29=E$3,'11. Water - Capex Input'!$J29,0)</f>
        <v>0</v>
      </c>
      <c r="F603" s="30">
        <f>IF('11. Water - Capex Input'!$I29=F$3,'11. Water - Capex Input'!$J29,0)</f>
        <v>0</v>
      </c>
      <c r="G603" s="30">
        <f>IF('11. Water - Capex Input'!$I29=G$3,'11. Water - Capex Input'!$J29,0)</f>
        <v>3331926</v>
      </c>
      <c r="H603" s="30">
        <f>IF('11. Water - Capex Input'!$I29=H$3,'11. Water - Capex Input'!$J29,0)</f>
        <v>0</v>
      </c>
    </row>
    <row r="604" spans="2:8">
      <c r="B604" s="152">
        <f t="shared" si="28"/>
        <v>0</v>
      </c>
      <c r="D604" s="30">
        <f>IF('11. Water - Capex Input'!$I30=D$3,'11. Water - Capex Input'!$J30,0)</f>
        <v>0</v>
      </c>
      <c r="E604" s="30">
        <f>IF('11. Water - Capex Input'!$I30=E$3,'11. Water - Capex Input'!$J30,0)</f>
        <v>0</v>
      </c>
      <c r="F604" s="30">
        <f>IF('11. Water - Capex Input'!$I30=F$3,'11. Water - Capex Input'!$J30,0)</f>
        <v>0</v>
      </c>
      <c r="G604" s="30">
        <f>IF('11. Water - Capex Input'!$I30=G$3,'11. Water - Capex Input'!$J30,0)</f>
        <v>0</v>
      </c>
      <c r="H604" s="30">
        <f>IF('11. Water - Capex Input'!$I30=H$3,'11. Water - Capex Input'!$J30,0)</f>
        <v>3429021</v>
      </c>
    </row>
    <row r="605" spans="2:8">
      <c r="B605" s="152">
        <f t="shared" si="28"/>
        <v>0</v>
      </c>
      <c r="D605" s="30">
        <f>IF('11. Water - Capex Input'!$I31=D$3,'11. Water - Capex Input'!$J31,0)</f>
        <v>0</v>
      </c>
      <c r="E605" s="30">
        <f>IF('11. Water - Capex Input'!$I31=E$3,'11. Water - Capex Input'!$J31,0)</f>
        <v>0</v>
      </c>
      <c r="F605" s="30">
        <f>IF('11. Water - Capex Input'!$I31=F$3,'11. Water - Capex Input'!$J31,0)</f>
        <v>3146998</v>
      </c>
      <c r="G605" s="30">
        <f>IF('11. Water - Capex Input'!$I31=G$3,'11. Water - Capex Input'!$J31,0)</f>
        <v>0</v>
      </c>
      <c r="H605" s="30">
        <f>IF('11. Water - Capex Input'!$I31=H$3,'11. Water - Capex Input'!$J31,0)</f>
        <v>0</v>
      </c>
    </row>
    <row r="606" spans="2:8">
      <c r="B606" s="152">
        <f t="shared" si="28"/>
        <v>0</v>
      </c>
      <c r="D606" s="30">
        <f>IF('11. Water - Capex Input'!$I32=D$3,'11. Water - Capex Input'!$J32,0)</f>
        <v>0</v>
      </c>
      <c r="E606" s="30">
        <f>IF('11. Water - Capex Input'!$I32=E$3,'11. Water - Capex Input'!$J32,0)</f>
        <v>0</v>
      </c>
      <c r="F606" s="30">
        <f>IF('11. Water - Capex Input'!$I32=F$3,'11. Water - Capex Input'!$J32,0)</f>
        <v>0</v>
      </c>
      <c r="G606" s="30">
        <f>IF('11. Water - Capex Input'!$I32=G$3,'11. Water - Capex Input'!$J32,0)</f>
        <v>2751190</v>
      </c>
      <c r="H606" s="30">
        <f>IF('11. Water - Capex Input'!$I32=H$3,'11. Water - Capex Input'!$J32,0)</f>
        <v>0</v>
      </c>
    </row>
    <row r="607" spans="2:8">
      <c r="B607" s="152">
        <f t="shared" si="28"/>
        <v>0</v>
      </c>
      <c r="D607" s="30">
        <f>IF('11. Water - Capex Input'!$I33=D$3,'11. Water - Capex Input'!$J33,0)</f>
        <v>0</v>
      </c>
      <c r="E607" s="30">
        <f>IF('11. Water - Capex Input'!$I33=E$3,'11. Water - Capex Input'!$J33,0)</f>
        <v>0</v>
      </c>
      <c r="F607" s="30">
        <f>IF('11. Water - Capex Input'!$I33=F$3,'11. Water - Capex Input'!$J33,0)</f>
        <v>0</v>
      </c>
      <c r="G607" s="30">
        <f>IF('11. Water - Capex Input'!$I33=G$3,'11. Water - Capex Input'!$J33,0)</f>
        <v>0</v>
      </c>
      <c r="H607" s="30">
        <f>IF('11. Water - Capex Input'!$I33=H$3,'11. Water - Capex Input'!$J33,0)</f>
        <v>1301076</v>
      </c>
    </row>
    <row r="608" spans="2:8">
      <c r="B608" s="152">
        <f t="shared" si="28"/>
        <v>0</v>
      </c>
      <c r="D608" s="30">
        <f>IF('11. Water - Capex Input'!$I34=D$3,'11. Water - Capex Input'!$J34,0)</f>
        <v>0</v>
      </c>
      <c r="E608" s="30">
        <f>IF('11. Water - Capex Input'!$I34=E$3,'11. Water - Capex Input'!$J34,0)</f>
        <v>200000</v>
      </c>
      <c r="F608" s="30">
        <f>IF('11. Water - Capex Input'!$I34=F$3,'11. Water - Capex Input'!$J34,0)</f>
        <v>0</v>
      </c>
      <c r="G608" s="30">
        <f>IF('11. Water - Capex Input'!$I34=G$3,'11. Water - Capex Input'!$J34,0)</f>
        <v>0</v>
      </c>
      <c r="H608" s="30">
        <f>IF('11. Water - Capex Input'!$I34=H$3,'11. Water - Capex Input'!$J34,0)</f>
        <v>0</v>
      </c>
    </row>
    <row r="609" spans="2:8">
      <c r="B609" s="152">
        <f t="shared" si="28"/>
        <v>0</v>
      </c>
      <c r="D609" s="30">
        <f>IF('11. Water - Capex Input'!$I35=D$3,'11. Water - Capex Input'!$J35,0)</f>
        <v>0</v>
      </c>
      <c r="E609" s="30">
        <f>IF('11. Water - Capex Input'!$I35=E$3,'11. Water - Capex Input'!$J35,0)</f>
        <v>0</v>
      </c>
      <c r="F609" s="30">
        <f>IF('11. Water - Capex Input'!$I35=F$3,'11. Water - Capex Input'!$J35,0)</f>
        <v>610189</v>
      </c>
      <c r="G609" s="30">
        <f>IF('11. Water - Capex Input'!$I35=G$3,'11. Water - Capex Input'!$J35,0)</f>
        <v>0</v>
      </c>
      <c r="H609" s="30">
        <f>IF('11. Water - Capex Input'!$I35=H$3,'11. Water - Capex Input'!$J35,0)</f>
        <v>0</v>
      </c>
    </row>
    <row r="610" spans="2:8">
      <c r="B610" s="152">
        <f t="shared" si="28"/>
        <v>0</v>
      </c>
      <c r="D610" s="30">
        <f>IF('11. Water - Capex Input'!$I36=D$3,'11. Water - Capex Input'!$J36,0)</f>
        <v>0</v>
      </c>
      <c r="E610" s="30">
        <f>IF('11. Water - Capex Input'!$I36=E$3,'11. Water - Capex Input'!$J36,0)</f>
        <v>0</v>
      </c>
      <c r="F610" s="30">
        <f>IF('11. Water - Capex Input'!$I36=F$3,'11. Water - Capex Input'!$J36,0)</f>
        <v>0</v>
      </c>
      <c r="G610" s="30">
        <f>IF('11. Water - Capex Input'!$I36=G$3,'11. Water - Capex Input'!$J36,0)</f>
        <v>2385104</v>
      </c>
      <c r="H610" s="30">
        <f>IF('11. Water - Capex Input'!$I36=H$3,'11. Water - Capex Input'!$J36,0)</f>
        <v>0</v>
      </c>
    </row>
    <row r="611" spans="2:8">
      <c r="B611" s="152">
        <f t="shared" si="28"/>
        <v>0</v>
      </c>
      <c r="D611" s="30">
        <f>IF('11. Water - Capex Input'!$I37=D$3,'11. Water - Capex Input'!$J37,0)</f>
        <v>0</v>
      </c>
      <c r="E611" s="30">
        <f>IF('11. Water - Capex Input'!$I37=E$3,'11. Water - Capex Input'!$J37,0)</f>
        <v>0</v>
      </c>
      <c r="F611" s="30">
        <f>IF('11. Water - Capex Input'!$I37=F$3,'11. Water - Capex Input'!$J37,0)</f>
        <v>0</v>
      </c>
      <c r="G611" s="30">
        <f>IF('11. Water - Capex Input'!$I37=G$3,'11. Water - Capex Input'!$J37,0)</f>
        <v>0</v>
      </c>
      <c r="H611" s="30">
        <f>IF('11. Water - Capex Input'!$I37=H$3,'11. Water - Capex Input'!$J37,0)</f>
        <v>3429021</v>
      </c>
    </row>
    <row r="612" spans="2:8">
      <c r="B612" s="152">
        <f t="shared" si="28"/>
        <v>0</v>
      </c>
      <c r="D612" s="30">
        <f>IF('11. Water - Capex Input'!$I38=D$3,'11. Water - Capex Input'!$J38,0)</f>
        <v>5388467.1299999999</v>
      </c>
      <c r="E612" s="30">
        <f>IF('11. Water - Capex Input'!$I38=E$3,'11. Water - Capex Input'!$J38,0)</f>
        <v>0</v>
      </c>
      <c r="F612" s="30">
        <f>IF('11. Water - Capex Input'!$I38=F$3,'11. Water - Capex Input'!$J38,0)</f>
        <v>0</v>
      </c>
      <c r="G612" s="30">
        <f>IF('11. Water - Capex Input'!$I38=G$3,'11. Water - Capex Input'!$J38,0)</f>
        <v>0</v>
      </c>
      <c r="H612" s="30">
        <f>IF('11. Water - Capex Input'!$I38=H$3,'11. Water - Capex Input'!$J38,0)</f>
        <v>0</v>
      </c>
    </row>
    <row r="613" spans="2:8">
      <c r="B613" s="152">
        <f t="shared" si="28"/>
        <v>0</v>
      </c>
      <c r="D613" s="30">
        <f>IF('11. Water - Capex Input'!$I39=D$3,'11. Water - Capex Input'!$J39,0)</f>
        <v>0</v>
      </c>
      <c r="E613" s="30">
        <f>IF('11. Water - Capex Input'!$I39=E$3,'11. Water - Capex Input'!$J39,0)</f>
        <v>848650.10000000009</v>
      </c>
      <c r="F613" s="30">
        <f>IF('11. Water - Capex Input'!$I39=F$3,'11. Water - Capex Input'!$J39,0)</f>
        <v>0</v>
      </c>
      <c r="G613" s="30">
        <f>IF('11. Water - Capex Input'!$I39=G$3,'11. Water - Capex Input'!$J39,0)</f>
        <v>0</v>
      </c>
      <c r="H613" s="30">
        <f>IF('11. Water - Capex Input'!$I39=H$3,'11. Water - Capex Input'!$J39,0)</f>
        <v>0</v>
      </c>
    </row>
    <row r="614" spans="2:8">
      <c r="B614" s="152">
        <f t="shared" si="28"/>
        <v>0</v>
      </c>
      <c r="D614" s="30">
        <f>IF('11. Water - Capex Input'!$I40=D$3,'11. Water - Capex Input'!$J40,0)</f>
        <v>6024542.1400000006</v>
      </c>
      <c r="E614" s="30">
        <f>IF('11. Water - Capex Input'!$I40=E$3,'11. Water - Capex Input'!$J40,0)</f>
        <v>0</v>
      </c>
      <c r="F614" s="30">
        <f>IF('11. Water - Capex Input'!$I40=F$3,'11. Water - Capex Input'!$J40,0)</f>
        <v>0</v>
      </c>
      <c r="G614" s="30">
        <f>IF('11. Water - Capex Input'!$I40=G$3,'11. Water - Capex Input'!$J40,0)</f>
        <v>0</v>
      </c>
      <c r="H614" s="30">
        <f>IF('11. Water - Capex Input'!$I40=H$3,'11. Water - Capex Input'!$J40,0)</f>
        <v>0</v>
      </c>
    </row>
    <row r="615" spans="2:8">
      <c r="B615" s="152">
        <f t="shared" si="28"/>
        <v>0</v>
      </c>
      <c r="D615" s="30">
        <f>IF('11. Water - Capex Input'!$I41=D$3,'11. Water - Capex Input'!$J41,0)</f>
        <v>0</v>
      </c>
      <c r="E615" s="30">
        <f>IF('11. Water - Capex Input'!$I41=E$3,'11. Water - Capex Input'!$J41,0)</f>
        <v>175516.63999999996</v>
      </c>
      <c r="F615" s="30">
        <f>IF('11. Water - Capex Input'!$I41=F$3,'11. Water - Capex Input'!$J41,0)</f>
        <v>0</v>
      </c>
      <c r="G615" s="30">
        <f>IF('11. Water - Capex Input'!$I41=G$3,'11. Water - Capex Input'!$J41,0)</f>
        <v>0</v>
      </c>
      <c r="H615" s="30">
        <f>IF('11. Water - Capex Input'!$I41=H$3,'11. Water - Capex Input'!$J41,0)</f>
        <v>0</v>
      </c>
    </row>
    <row r="616" spans="2:8">
      <c r="B616" s="152">
        <f t="shared" si="28"/>
        <v>0</v>
      </c>
      <c r="D616" s="30">
        <f>IF('11. Water - Capex Input'!$I42=D$3,'11. Water - Capex Input'!$J42,0)</f>
        <v>0</v>
      </c>
      <c r="E616" s="30">
        <f>IF('11. Water - Capex Input'!$I42=E$3,'11. Water - Capex Input'!$J42,0)</f>
        <v>0</v>
      </c>
      <c r="F616" s="30">
        <f>IF('11. Water - Capex Input'!$I42=F$3,'11. Water - Capex Input'!$J42,0)</f>
        <v>0</v>
      </c>
      <c r="G616" s="30">
        <f>IF('11. Water - Capex Input'!$I42=G$3,'11. Water - Capex Input'!$J42,0)</f>
        <v>1110642</v>
      </c>
      <c r="H616" s="30">
        <f>IF('11. Water - Capex Input'!$I42=H$3,'11. Water - Capex Input'!$J42,0)</f>
        <v>0</v>
      </c>
    </row>
    <row r="617" spans="2:8">
      <c r="B617" s="152">
        <f t="shared" si="28"/>
        <v>0</v>
      </c>
      <c r="D617" s="30">
        <f>IF('11. Water - Capex Input'!$I43=D$3,'11. Water - Capex Input'!$J43,0)</f>
        <v>0</v>
      </c>
      <c r="E617" s="30">
        <f>IF('11. Water - Capex Input'!$I43=E$3,'11. Water - Capex Input'!$J43,0)</f>
        <v>0</v>
      </c>
      <c r="F617" s="30">
        <f>IF('11. Water - Capex Input'!$I43=F$3,'11. Water - Capex Input'!$J43,0)</f>
        <v>0</v>
      </c>
      <c r="G617" s="30">
        <f>IF('11. Water - Capex Input'!$I43=G$3,'11. Water - Capex Input'!$J43,0)</f>
        <v>0</v>
      </c>
      <c r="H617" s="30">
        <f>IF('11. Water - Capex Input'!$I43=H$3,'11. Water - Capex Input'!$J43,0)</f>
        <v>4614891</v>
      </c>
    </row>
    <row r="618" spans="2:8">
      <c r="B618" s="152">
        <f t="shared" si="28"/>
        <v>0</v>
      </c>
      <c r="D618" s="30">
        <f>IF('11. Water - Capex Input'!$I44=D$3,'11. Water - Capex Input'!$J44,0)</f>
        <v>0</v>
      </c>
      <c r="E618" s="30">
        <f>IF('11. Water - Capex Input'!$I44=E$3,'11. Water - Capex Input'!$J44,0)</f>
        <v>0</v>
      </c>
      <c r="F618" s="30">
        <f>IF('11. Water - Capex Input'!$I44=F$3,'11. Water - Capex Input'!$J44,0)</f>
        <v>535428.36755518988</v>
      </c>
      <c r="G618" s="30">
        <f>IF('11. Water - Capex Input'!$I44=G$3,'11. Water - Capex Input'!$J44,0)</f>
        <v>0</v>
      </c>
      <c r="H618" s="30">
        <f>IF('11. Water - Capex Input'!$I44=H$3,'11. Water - Capex Input'!$J44,0)</f>
        <v>0</v>
      </c>
    </row>
    <row r="619" spans="2:8">
      <c r="B619" s="152">
        <f t="shared" si="28"/>
        <v>0</v>
      </c>
      <c r="D619" s="30">
        <f>IF('11. Water - Capex Input'!$I45=D$3,'11. Water - Capex Input'!$J45,0)</f>
        <v>0</v>
      </c>
      <c r="E619" s="30">
        <f>IF('11. Water - Capex Input'!$I45=E$3,'11. Water - Capex Input'!$J45,0)</f>
        <v>0</v>
      </c>
      <c r="F619" s="30">
        <f>IF('11. Water - Capex Input'!$I45=F$3,'11. Water - Capex Input'!$J45,0)</f>
        <v>0</v>
      </c>
      <c r="G619" s="30">
        <f>IF('11. Water - Capex Input'!$I45=G$3,'11. Water - Capex Input'!$J45,0)</f>
        <v>2348084.0514925742</v>
      </c>
      <c r="H619" s="30">
        <f>IF('11. Water - Capex Input'!$I45=H$3,'11. Water - Capex Input'!$J45,0)</f>
        <v>0</v>
      </c>
    </row>
    <row r="620" spans="2:8">
      <c r="B620" s="152">
        <f t="shared" si="28"/>
        <v>0</v>
      </c>
      <c r="D620" s="30">
        <f>IF('11. Water - Capex Input'!$I46=D$3,'11. Water - Capex Input'!$J46,0)</f>
        <v>0</v>
      </c>
      <c r="E620" s="30">
        <f>IF('11. Water - Capex Input'!$I46=E$3,'11. Water - Capex Input'!$J46,0)</f>
        <v>0</v>
      </c>
      <c r="F620" s="30">
        <f>IF('11. Water - Capex Input'!$I46=F$3,'11. Water - Capex Input'!$J46,0)</f>
        <v>0</v>
      </c>
      <c r="G620" s="30">
        <f>IF('11. Water - Capex Input'!$I46=G$3,'11. Water - Capex Input'!$J46,0)</f>
        <v>0</v>
      </c>
      <c r="H620" s="30">
        <f>IF('11. Water - Capex Input'!$I46=H$3,'11. Water - Capex Input'!$J46,0)</f>
        <v>2414140.5333917825</v>
      </c>
    </row>
    <row r="621" spans="2:8">
      <c r="B621" s="152">
        <f t="shared" si="28"/>
        <v>0</v>
      </c>
      <c r="D621" s="30">
        <f>IF('11. Water - Capex Input'!$I47=D$3,'11. Water - Capex Input'!$J47,0)</f>
        <v>562930.1100000001</v>
      </c>
      <c r="E621" s="30">
        <f>IF('11. Water - Capex Input'!$I47=E$3,'11. Water - Capex Input'!$J47,0)</f>
        <v>0</v>
      </c>
      <c r="F621" s="30">
        <f>IF('11. Water - Capex Input'!$I47=F$3,'11. Water - Capex Input'!$J47,0)</f>
        <v>0</v>
      </c>
      <c r="G621" s="30">
        <f>IF('11. Water - Capex Input'!$I47=G$3,'11. Water - Capex Input'!$J47,0)</f>
        <v>0</v>
      </c>
      <c r="H621" s="30">
        <f>IF('11. Water - Capex Input'!$I47=H$3,'11. Water - Capex Input'!$J47,0)</f>
        <v>0</v>
      </c>
    </row>
    <row r="622" spans="2:8">
      <c r="B622" s="152">
        <f t="shared" si="28"/>
        <v>0</v>
      </c>
      <c r="D622" s="30">
        <f>IF('11. Water - Capex Input'!$I48=D$3,'11. Water - Capex Input'!$J48,0)</f>
        <v>0</v>
      </c>
      <c r="E622" s="30">
        <f>IF('11. Water - Capex Input'!$I48=E$3,'11. Water - Capex Input'!$J48,0)</f>
        <v>2565346.34</v>
      </c>
      <c r="F622" s="30">
        <f>IF('11. Water - Capex Input'!$I48=F$3,'11. Water - Capex Input'!$J48,0)</f>
        <v>0</v>
      </c>
      <c r="G622" s="30">
        <f>IF('11. Water - Capex Input'!$I48=G$3,'11. Water - Capex Input'!$J48,0)</f>
        <v>0</v>
      </c>
      <c r="H622" s="30">
        <f>IF('11. Water - Capex Input'!$I48=H$3,'11. Water - Capex Input'!$J48,0)</f>
        <v>0</v>
      </c>
    </row>
    <row r="623" spans="2:8">
      <c r="B623" s="152">
        <f t="shared" si="28"/>
        <v>0</v>
      </c>
      <c r="D623" s="30">
        <f>IF('11. Water - Capex Input'!$I49=D$3,'11. Water - Capex Input'!$J49,0)</f>
        <v>0</v>
      </c>
      <c r="E623" s="30">
        <f>IF('11. Water - Capex Input'!$I49=E$3,'11. Water - Capex Input'!$J49,0)</f>
        <v>0</v>
      </c>
      <c r="F623" s="30">
        <f>IF('11. Water - Capex Input'!$I49=F$3,'11. Water - Capex Input'!$J49,0)</f>
        <v>2010500</v>
      </c>
      <c r="G623" s="30">
        <f>IF('11. Water - Capex Input'!$I49=G$3,'11. Water - Capex Input'!$J49,0)</f>
        <v>0</v>
      </c>
      <c r="H623" s="30">
        <f>IF('11. Water - Capex Input'!$I49=H$3,'11. Water - Capex Input'!$J49,0)</f>
        <v>0</v>
      </c>
    </row>
    <row r="624" spans="2:8">
      <c r="B624" s="152">
        <f t="shared" si="28"/>
        <v>0</v>
      </c>
      <c r="D624" s="30">
        <f>IF('11. Water - Capex Input'!$I50=D$3,'11. Water - Capex Input'!$J50,0)</f>
        <v>0</v>
      </c>
      <c r="E624" s="30">
        <f>IF('11. Water - Capex Input'!$I50=E$3,'11. Water - Capex Input'!$J50,0)</f>
        <v>200000</v>
      </c>
      <c r="F624" s="30">
        <f>IF('11. Water - Capex Input'!$I50=F$3,'11. Water - Capex Input'!$J50,0)</f>
        <v>0</v>
      </c>
      <c r="G624" s="30">
        <f>IF('11. Water - Capex Input'!$I50=G$3,'11. Water - Capex Input'!$J50,0)</f>
        <v>0</v>
      </c>
      <c r="H624" s="30">
        <f>IF('11. Water - Capex Input'!$I50=H$3,'11. Water - Capex Input'!$J50,0)</f>
        <v>0</v>
      </c>
    </row>
    <row r="625" spans="2:8">
      <c r="B625" s="152">
        <f t="shared" si="28"/>
        <v>0</v>
      </c>
      <c r="D625" s="30">
        <f>IF('11. Water - Capex Input'!$I51=D$3,'11. Water - Capex Input'!$J51,0)</f>
        <v>0</v>
      </c>
      <c r="E625" s="30">
        <f>IF('11. Water - Capex Input'!$I51=E$3,'11. Water - Capex Input'!$J51,0)</f>
        <v>0</v>
      </c>
      <c r="F625" s="30">
        <f>IF('11. Water - Capex Input'!$I51=F$3,'11. Water - Capex Input'!$J51,0)</f>
        <v>2350581</v>
      </c>
      <c r="G625" s="30">
        <f>IF('11. Water - Capex Input'!$I51=G$3,'11. Water - Capex Input'!$J51,0)</f>
        <v>0</v>
      </c>
      <c r="H625" s="30">
        <f>IF('11. Water - Capex Input'!$I51=H$3,'11. Water - Capex Input'!$J51,0)</f>
        <v>0</v>
      </c>
    </row>
    <row r="626" spans="2:8">
      <c r="B626" s="152">
        <f t="shared" si="28"/>
        <v>0</v>
      </c>
      <c r="D626" s="30">
        <f>IF('11. Water - Capex Input'!$I52=D$3,'11. Water - Capex Input'!$J52,0)</f>
        <v>0</v>
      </c>
      <c r="E626" s="30">
        <f>IF('11. Water - Capex Input'!$I52=E$3,'11. Water - Capex Input'!$J52,0)</f>
        <v>0</v>
      </c>
      <c r="F626" s="30">
        <f>IF('11. Water - Capex Input'!$I52=F$3,'11. Water - Capex Input'!$J52,0)</f>
        <v>0</v>
      </c>
      <c r="G626" s="30">
        <f>IF('11. Water - Capex Input'!$I52=G$3,'11. Water - Capex Input'!$J52,0)</f>
        <v>2180214</v>
      </c>
      <c r="H626" s="30">
        <f>IF('11. Water - Capex Input'!$I52=H$3,'11. Water - Capex Input'!$J52,0)</f>
        <v>0</v>
      </c>
    </row>
    <row r="627" spans="2:8">
      <c r="B627" s="152">
        <f t="shared" si="28"/>
        <v>0</v>
      </c>
      <c r="D627" s="30">
        <f>IF('11. Water - Capex Input'!$I53=D$3,'11. Water - Capex Input'!$J53,0)</f>
        <v>0</v>
      </c>
      <c r="E627" s="30">
        <f>IF('11. Water - Capex Input'!$I53=E$3,'11. Water - Capex Input'!$J53,0)</f>
        <v>200000</v>
      </c>
      <c r="F627" s="30">
        <f>IF('11. Water - Capex Input'!$I53=F$3,'11. Water - Capex Input'!$J53,0)</f>
        <v>0</v>
      </c>
      <c r="G627" s="30">
        <f>IF('11. Water - Capex Input'!$I53=G$3,'11. Water - Capex Input'!$J53,0)</f>
        <v>0</v>
      </c>
      <c r="H627" s="30">
        <f>IF('11. Water - Capex Input'!$I53=H$3,'11. Water - Capex Input'!$J53,0)</f>
        <v>0</v>
      </c>
    </row>
    <row r="628" spans="2:8">
      <c r="B628" s="152">
        <f t="shared" si="28"/>
        <v>0</v>
      </c>
      <c r="D628" s="30">
        <f>IF('11. Water - Capex Input'!$I54=D$3,'11. Water - Capex Input'!$J54,0)</f>
        <v>0</v>
      </c>
      <c r="E628" s="30">
        <f>IF('11. Water - Capex Input'!$I54=E$3,'11. Water - Capex Input'!$J54,0)</f>
        <v>0</v>
      </c>
      <c r="F628" s="30">
        <f>IF('11. Water - Capex Input'!$I54=F$3,'11. Water - Capex Input'!$J54,0)</f>
        <v>2473506</v>
      </c>
      <c r="G628" s="30">
        <f>IF('11. Water - Capex Input'!$I54=G$3,'11. Water - Capex Input'!$J54,0)</f>
        <v>0</v>
      </c>
      <c r="H628" s="30">
        <f>IF('11. Water - Capex Input'!$I54=H$3,'11. Water - Capex Input'!$J54,0)</f>
        <v>0</v>
      </c>
    </row>
    <row r="629" spans="2:8">
      <c r="B629" s="152">
        <f t="shared" si="28"/>
        <v>0</v>
      </c>
      <c r="D629" s="30">
        <f>IF('11. Water - Capex Input'!$I55=D$3,'11. Water - Capex Input'!$J55,0)</f>
        <v>0</v>
      </c>
      <c r="E629" s="30">
        <f>IF('11. Water - Capex Input'!$I55=E$3,'11. Water - Capex Input'!$J55,0)</f>
        <v>0</v>
      </c>
      <c r="F629" s="30">
        <f>IF('11. Water - Capex Input'!$I55=F$3,'11. Water - Capex Input'!$J55,0)</f>
        <v>0</v>
      </c>
      <c r="G629" s="30">
        <f>IF('11. Water - Capex Input'!$I55=G$3,'11. Water - Capex Input'!$J55,0)</f>
        <v>1388303</v>
      </c>
      <c r="H629" s="30">
        <f>IF('11. Water - Capex Input'!$I55=H$3,'11. Water - Capex Input'!$J55,0)</f>
        <v>0</v>
      </c>
    </row>
    <row r="630" spans="2:8">
      <c r="B630" s="152">
        <f t="shared" si="28"/>
        <v>0</v>
      </c>
      <c r="D630" s="30">
        <f>IF('11. Water - Capex Input'!$I56=D$3,'11. Water - Capex Input'!$J56,0)</f>
        <v>0</v>
      </c>
      <c r="E630" s="30">
        <f>IF('11. Water - Capex Input'!$I56=E$3,'11. Water - Capex Input'!$J56,0)</f>
        <v>0</v>
      </c>
      <c r="F630" s="30">
        <f>IF('11. Water - Capex Input'!$I56=F$3,'11. Water - Capex Input'!$J56,0)</f>
        <v>185668</v>
      </c>
      <c r="G630" s="30">
        <f>IF('11. Water - Capex Input'!$I56=G$3,'11. Water - Capex Input'!$J56,0)</f>
        <v>0</v>
      </c>
      <c r="H630" s="30">
        <f>IF('11. Water - Capex Input'!$I56=H$3,'11. Water - Capex Input'!$J56,0)</f>
        <v>0</v>
      </c>
    </row>
    <row r="631" spans="2:8">
      <c r="B631" s="152">
        <f t="shared" si="28"/>
        <v>0</v>
      </c>
      <c r="D631" s="30">
        <f>IF('11. Water - Capex Input'!$I57=D$3,'11. Water - Capex Input'!$J57,0)</f>
        <v>0</v>
      </c>
      <c r="E631" s="30">
        <f>IF('11. Water - Capex Input'!$I57=E$3,'11. Water - Capex Input'!$J57,0)</f>
        <v>0</v>
      </c>
      <c r="F631" s="30">
        <f>IF('11. Water - Capex Input'!$I57=F$3,'11. Water - Capex Input'!$J57,0)</f>
        <v>0</v>
      </c>
      <c r="G631" s="30">
        <f>IF('11. Water - Capex Input'!$I57=G$3,'11. Water - Capex Input'!$J57,0)</f>
        <v>2110220</v>
      </c>
      <c r="H631" s="30">
        <f>IF('11. Water - Capex Input'!$I57=H$3,'11. Water - Capex Input'!$J57,0)</f>
        <v>0</v>
      </c>
    </row>
    <row r="632" spans="2:8">
      <c r="B632" s="152">
        <f t="shared" si="28"/>
        <v>0</v>
      </c>
      <c r="D632" s="30">
        <f>IF('11. Water - Capex Input'!$I58=D$3,'11. Water - Capex Input'!$J58,0)</f>
        <v>0</v>
      </c>
      <c r="E632" s="30">
        <f>IF('11. Water - Capex Input'!$I58=E$3,'11. Water - Capex Input'!$J58,0)</f>
        <v>0</v>
      </c>
      <c r="F632" s="30">
        <f>IF('11. Water - Capex Input'!$I58=F$3,'11. Water - Capex Input'!$J58,0)</f>
        <v>0</v>
      </c>
      <c r="G632" s="30">
        <f>IF('11. Water - Capex Input'!$I58=G$3,'11. Water - Capex Input'!$J58,0)</f>
        <v>0</v>
      </c>
      <c r="H632" s="30">
        <f>IF('11. Water - Capex Input'!$I58=H$3,'11. Water - Capex Input'!$J58,0)</f>
        <v>1485909</v>
      </c>
    </row>
    <row r="633" spans="2:8">
      <c r="B633" s="152">
        <f t="shared" si="28"/>
        <v>0</v>
      </c>
      <c r="D633" s="30">
        <f>IF('11. Water - Capex Input'!$I59=D$3,'11. Water - Capex Input'!$J59,0)</f>
        <v>1005028.24</v>
      </c>
      <c r="E633" s="30">
        <f>IF('11. Water - Capex Input'!$I59=E$3,'11. Water - Capex Input'!$J59,0)</f>
        <v>0</v>
      </c>
      <c r="F633" s="30">
        <f>IF('11. Water - Capex Input'!$I59=F$3,'11. Water - Capex Input'!$J59,0)</f>
        <v>0</v>
      </c>
      <c r="G633" s="30">
        <f>IF('11. Water - Capex Input'!$I59=G$3,'11. Water - Capex Input'!$J59,0)</f>
        <v>0</v>
      </c>
      <c r="H633" s="30">
        <f>IF('11. Water - Capex Input'!$I59=H$3,'11. Water - Capex Input'!$J59,0)</f>
        <v>0</v>
      </c>
    </row>
    <row r="634" spans="2:8">
      <c r="B634" s="152">
        <f t="shared" si="28"/>
        <v>0</v>
      </c>
      <c r="D634" s="30">
        <f>IF('11. Water - Capex Input'!$I60=D$3,'11. Water - Capex Input'!$J60,0)</f>
        <v>0</v>
      </c>
      <c r="E634" s="30">
        <f>IF('11. Water - Capex Input'!$I60=E$3,'11. Water - Capex Input'!$J60,0)</f>
        <v>2020560.47</v>
      </c>
      <c r="F634" s="30">
        <f>IF('11. Water - Capex Input'!$I60=F$3,'11. Water - Capex Input'!$J60,0)</f>
        <v>0</v>
      </c>
      <c r="G634" s="30">
        <f>IF('11. Water - Capex Input'!$I60=G$3,'11. Water - Capex Input'!$J60,0)</f>
        <v>0</v>
      </c>
      <c r="H634" s="30">
        <f>IF('11. Water - Capex Input'!$I60=H$3,'11. Water - Capex Input'!$J60,0)</f>
        <v>0</v>
      </c>
    </row>
    <row r="635" spans="2:8">
      <c r="B635" s="152">
        <f t="shared" si="28"/>
        <v>0</v>
      </c>
      <c r="D635" s="30">
        <f>IF('11. Water - Capex Input'!$I61=D$3,'11. Water - Capex Input'!$J61,0)</f>
        <v>0</v>
      </c>
      <c r="E635" s="30">
        <f>IF('11. Water - Capex Input'!$I61=E$3,'11. Water - Capex Input'!$J61,0)</f>
        <v>0</v>
      </c>
      <c r="F635" s="30">
        <f>IF('11. Water - Capex Input'!$I61=F$3,'11. Water - Capex Input'!$J61,0)</f>
        <v>330783</v>
      </c>
      <c r="G635" s="30">
        <f>IF('11. Water - Capex Input'!$I61=G$3,'11. Water - Capex Input'!$J61,0)</f>
        <v>0</v>
      </c>
      <c r="H635" s="30">
        <f>IF('11. Water - Capex Input'!$I61=H$3,'11. Water - Capex Input'!$J61,0)</f>
        <v>0</v>
      </c>
    </row>
    <row r="636" spans="2:8">
      <c r="B636" s="152">
        <f t="shared" si="28"/>
        <v>0</v>
      </c>
      <c r="D636" s="30">
        <f>IF('11. Water - Capex Input'!$I62=D$3,'11. Water - Capex Input'!$J62,0)</f>
        <v>3001389.0500000003</v>
      </c>
      <c r="E636" s="30">
        <f>IF('11. Water - Capex Input'!$I62=E$3,'11. Water - Capex Input'!$J62,0)</f>
        <v>0</v>
      </c>
      <c r="F636" s="30">
        <f>IF('11. Water - Capex Input'!$I62=F$3,'11. Water - Capex Input'!$J62,0)</f>
        <v>0</v>
      </c>
      <c r="G636" s="30">
        <f>IF('11. Water - Capex Input'!$I62=G$3,'11. Water - Capex Input'!$J62,0)</f>
        <v>0</v>
      </c>
      <c r="H636" s="30">
        <f>IF('11. Water - Capex Input'!$I62=H$3,'11. Water - Capex Input'!$J62,0)</f>
        <v>0</v>
      </c>
    </row>
    <row r="637" spans="2:8">
      <c r="B637" s="152">
        <f t="shared" si="28"/>
        <v>0</v>
      </c>
      <c r="D637" s="30">
        <f>IF('11. Water - Capex Input'!$I63=D$3,'11. Water - Capex Input'!$J63,0)</f>
        <v>0</v>
      </c>
      <c r="E637" s="30">
        <f>IF('11. Water - Capex Input'!$I63=E$3,'11. Water - Capex Input'!$J63,0)</f>
        <v>80470.950000000012</v>
      </c>
      <c r="F637" s="30">
        <f>IF('11. Water - Capex Input'!$I63=F$3,'11. Water - Capex Input'!$J63,0)</f>
        <v>0</v>
      </c>
      <c r="G637" s="30">
        <f>IF('11. Water - Capex Input'!$I63=G$3,'11. Water - Capex Input'!$J63,0)</f>
        <v>0</v>
      </c>
      <c r="H637" s="30">
        <f>IF('11. Water - Capex Input'!$I63=H$3,'11. Water - Capex Input'!$J63,0)</f>
        <v>0</v>
      </c>
    </row>
    <row r="638" spans="2:8">
      <c r="B638" s="152">
        <f t="shared" si="28"/>
        <v>0</v>
      </c>
      <c r="D638" s="30">
        <f>IF('11. Water - Capex Input'!$I64=D$3,'11. Water - Capex Input'!$J64,0)</f>
        <v>320823.70999999996</v>
      </c>
      <c r="E638" s="30">
        <f>IF('11. Water - Capex Input'!$I64=E$3,'11. Water - Capex Input'!$J64,0)</f>
        <v>0</v>
      </c>
      <c r="F638" s="30">
        <f>IF('11. Water - Capex Input'!$I64=F$3,'11. Water - Capex Input'!$J64,0)</f>
        <v>0</v>
      </c>
      <c r="G638" s="30">
        <f>IF('11. Water - Capex Input'!$I64=G$3,'11. Water - Capex Input'!$J64,0)</f>
        <v>0</v>
      </c>
      <c r="H638" s="30">
        <f>IF('11. Water - Capex Input'!$I64=H$3,'11. Water - Capex Input'!$J64,0)</f>
        <v>0</v>
      </c>
    </row>
    <row r="639" spans="2:8">
      <c r="B639" s="152">
        <f t="shared" si="28"/>
        <v>0</v>
      </c>
      <c r="D639" s="30">
        <f>IF('11. Water - Capex Input'!$I65=D$3,'11. Water - Capex Input'!$J65,0)</f>
        <v>0</v>
      </c>
      <c r="E639" s="30">
        <f>IF('11. Water - Capex Input'!$I65=E$3,'11. Water - Capex Input'!$J65,0)</f>
        <v>1792617.98</v>
      </c>
      <c r="F639" s="30">
        <f>IF('11. Water - Capex Input'!$I65=F$3,'11. Water - Capex Input'!$J65,0)</f>
        <v>0</v>
      </c>
      <c r="G639" s="30">
        <f>IF('11. Water - Capex Input'!$I65=G$3,'11. Water - Capex Input'!$J65,0)</f>
        <v>0</v>
      </c>
      <c r="H639" s="30">
        <f>IF('11. Water - Capex Input'!$I65=H$3,'11. Water - Capex Input'!$J65,0)</f>
        <v>0</v>
      </c>
    </row>
    <row r="640" spans="2:8">
      <c r="B640" s="152">
        <f t="shared" si="28"/>
        <v>0</v>
      </c>
      <c r="D640" s="30">
        <f>IF('11. Water - Capex Input'!$I66=D$3,'11. Water - Capex Input'!$J66,0)</f>
        <v>0</v>
      </c>
      <c r="E640" s="30">
        <f>IF('11. Water - Capex Input'!$I66=E$3,'11. Water - Capex Input'!$J66,0)</f>
        <v>0</v>
      </c>
      <c r="F640" s="30">
        <f>IF('11. Water - Capex Input'!$I66=F$3,'11. Water - Capex Input'!$J66,0)</f>
        <v>50000</v>
      </c>
      <c r="G640" s="30">
        <f>IF('11. Water - Capex Input'!$I66=G$3,'11. Water - Capex Input'!$J66,0)</f>
        <v>0</v>
      </c>
      <c r="H640" s="30">
        <f>IF('11. Water - Capex Input'!$I66=H$3,'11. Water - Capex Input'!$J66,0)</f>
        <v>0</v>
      </c>
    </row>
    <row r="641" spans="2:8">
      <c r="B641" s="152">
        <f t="shared" si="28"/>
        <v>0</v>
      </c>
      <c r="D641" s="30">
        <f>IF('11. Water - Capex Input'!$I67=D$3,'11. Water - Capex Input'!$J67,0)</f>
        <v>0</v>
      </c>
      <c r="E641" s="30">
        <f>IF('11. Water - Capex Input'!$I67=E$3,'11. Water - Capex Input'!$J67,0)</f>
        <v>0</v>
      </c>
      <c r="F641" s="30">
        <f>IF('11. Water - Capex Input'!$I67=F$3,'11. Water - Capex Input'!$J67,0)</f>
        <v>0</v>
      </c>
      <c r="G641" s="30">
        <f>IF('11. Water - Capex Input'!$I67=G$3,'11. Water - Capex Input'!$J67,0)</f>
        <v>277661</v>
      </c>
      <c r="H641" s="30">
        <f>IF('11. Water - Capex Input'!$I67=H$3,'11. Water - Capex Input'!$J67,0)</f>
        <v>0</v>
      </c>
    </row>
    <row r="642" spans="2:8">
      <c r="B642" s="152">
        <f t="shared" si="28"/>
        <v>0</v>
      </c>
      <c r="D642" s="30">
        <f>IF('11. Water - Capex Input'!$I68=D$3,'11. Water - Capex Input'!$J68,0)</f>
        <v>0</v>
      </c>
      <c r="E642" s="30">
        <f>IF('11. Water - Capex Input'!$I68=E$3,'11. Water - Capex Input'!$J68,0)</f>
        <v>0</v>
      </c>
      <c r="F642" s="30">
        <f>IF('11. Water - Capex Input'!$I68=F$3,'11. Water - Capex Input'!$J68,0)</f>
        <v>0</v>
      </c>
      <c r="G642" s="30">
        <f>IF('11. Water - Capex Input'!$I68=G$3,'11. Water - Capex Input'!$J68,0)</f>
        <v>0</v>
      </c>
      <c r="H642" s="30">
        <f>IF('11. Water - Capex Input'!$I68=H$3,'11. Water - Capex Input'!$J68,0)</f>
        <v>1857386</v>
      </c>
    </row>
    <row r="643" spans="2:8">
      <c r="B643" s="152">
        <f t="shared" si="28"/>
        <v>0</v>
      </c>
      <c r="D643" s="30">
        <f>IF('11. Water - Capex Input'!$I69=D$3,'11. Water - Capex Input'!$J69,0)</f>
        <v>127041.21999999999</v>
      </c>
      <c r="E643" s="30">
        <f>IF('11. Water - Capex Input'!$I69=E$3,'11. Water - Capex Input'!$J69,0)</f>
        <v>0</v>
      </c>
      <c r="F643" s="30">
        <f>IF('11. Water - Capex Input'!$I69=F$3,'11. Water - Capex Input'!$J69,0)</f>
        <v>0</v>
      </c>
      <c r="G643" s="30">
        <f>IF('11. Water - Capex Input'!$I69=G$3,'11. Water - Capex Input'!$J69,0)</f>
        <v>0</v>
      </c>
      <c r="H643" s="30">
        <f>IF('11. Water - Capex Input'!$I69=H$3,'11. Water - Capex Input'!$J69,0)</f>
        <v>0</v>
      </c>
    </row>
    <row r="644" spans="2:8">
      <c r="B644" s="152">
        <f t="shared" ref="B644:B707" si="29">B458</f>
        <v>0</v>
      </c>
      <c r="D644" s="30">
        <f>IF('11. Water - Capex Input'!$I70=D$3,'11. Water - Capex Input'!$J70,0)</f>
        <v>0</v>
      </c>
      <c r="E644" s="30">
        <f>IF('11. Water - Capex Input'!$I70=E$3,'11. Water - Capex Input'!$J70,0)</f>
        <v>490651.62</v>
      </c>
      <c r="F644" s="30">
        <f>IF('11. Water - Capex Input'!$I70=F$3,'11. Water - Capex Input'!$J70,0)</f>
        <v>0</v>
      </c>
      <c r="G644" s="30">
        <f>IF('11. Water - Capex Input'!$I70=G$3,'11. Water - Capex Input'!$J70,0)</f>
        <v>0</v>
      </c>
      <c r="H644" s="30">
        <f>IF('11. Water - Capex Input'!$I70=H$3,'11. Water - Capex Input'!$J70,0)</f>
        <v>0</v>
      </c>
    </row>
    <row r="645" spans="2:8">
      <c r="B645" s="152">
        <f t="shared" si="29"/>
        <v>0</v>
      </c>
      <c r="D645" s="30">
        <f>IF('11. Water - Capex Input'!$I71=D$3,'11. Water - Capex Input'!$J71,0)</f>
        <v>0</v>
      </c>
      <c r="E645" s="30">
        <f>IF('11. Water - Capex Input'!$I71=E$3,'11. Water - Capex Input'!$J71,0)</f>
        <v>0</v>
      </c>
      <c r="F645" s="30">
        <f>IF('11. Water - Capex Input'!$I71=F$3,'11. Water - Capex Input'!$J71,0)</f>
        <v>432101</v>
      </c>
      <c r="G645" s="30">
        <f>IF('11. Water - Capex Input'!$I71=G$3,'11. Water - Capex Input'!$J71,0)</f>
        <v>0</v>
      </c>
      <c r="H645" s="30">
        <f>IF('11. Water - Capex Input'!$I71=H$3,'11. Water - Capex Input'!$J71,0)</f>
        <v>0</v>
      </c>
    </row>
    <row r="646" spans="2:8">
      <c r="B646" s="152">
        <f t="shared" si="29"/>
        <v>0</v>
      </c>
      <c r="D646" s="30">
        <f>IF('11. Water - Capex Input'!$I72=D$3,'11. Water - Capex Input'!$J72,0)</f>
        <v>0</v>
      </c>
      <c r="E646" s="30">
        <f>IF('11. Water - Capex Input'!$I72=E$3,'11. Water - Capex Input'!$J72,0)</f>
        <v>0</v>
      </c>
      <c r="F646" s="30">
        <f>IF('11. Water - Capex Input'!$I72=F$3,'11. Water - Capex Input'!$J72,0)</f>
        <v>0</v>
      </c>
      <c r="G646" s="30">
        <f>IF('11. Water - Capex Input'!$I72=G$3,'11. Water - Capex Input'!$J72,0)</f>
        <v>444257</v>
      </c>
      <c r="H646" s="30">
        <f>IF('11. Water - Capex Input'!$I72=H$3,'11. Water - Capex Input'!$J72,0)</f>
        <v>0</v>
      </c>
    </row>
    <row r="647" spans="2:8">
      <c r="B647" s="152">
        <f t="shared" si="29"/>
        <v>0</v>
      </c>
      <c r="D647" s="30">
        <f>IF('11. Water - Capex Input'!$I73=D$3,'11. Water - Capex Input'!$J73,0)</f>
        <v>0</v>
      </c>
      <c r="E647" s="30">
        <f>IF('11. Water - Capex Input'!$I73=E$3,'11. Water - Capex Input'!$J73,0)</f>
        <v>0</v>
      </c>
      <c r="F647" s="30">
        <f>IF('11. Water - Capex Input'!$I73=F$3,'11. Water - Capex Input'!$J73,0)</f>
        <v>0</v>
      </c>
      <c r="G647" s="30">
        <f>IF('11. Water - Capex Input'!$I73=G$3,'11. Water - Capex Input'!$J73,0)</f>
        <v>0</v>
      </c>
      <c r="H647" s="30">
        <f>IF('11. Water - Capex Input'!$I73=H$3,'11. Water - Capex Input'!$J73,0)</f>
        <v>457203</v>
      </c>
    </row>
    <row r="648" spans="2:8">
      <c r="B648" s="152">
        <f t="shared" si="29"/>
        <v>0</v>
      </c>
      <c r="D648" s="30">
        <f>IF('11. Water - Capex Input'!$I74=D$3,'11. Water - Capex Input'!$J74,0)</f>
        <v>327438.61999999994</v>
      </c>
      <c r="E648" s="30">
        <f>IF('11. Water - Capex Input'!$I74=E$3,'11. Water - Capex Input'!$J74,0)</f>
        <v>0</v>
      </c>
      <c r="F648" s="30">
        <f>IF('11. Water - Capex Input'!$I74=F$3,'11. Water - Capex Input'!$J74,0)</f>
        <v>0</v>
      </c>
      <c r="G648" s="30">
        <f>IF('11. Water - Capex Input'!$I74=G$3,'11. Water - Capex Input'!$J74,0)</f>
        <v>0</v>
      </c>
      <c r="H648" s="30">
        <f>IF('11. Water - Capex Input'!$I74=H$3,'11. Water - Capex Input'!$J74,0)</f>
        <v>0</v>
      </c>
    </row>
    <row r="649" spans="2:8">
      <c r="B649" s="152">
        <f t="shared" si="29"/>
        <v>0</v>
      </c>
      <c r="D649" s="30">
        <f>IF('11. Water - Capex Input'!$I75=D$3,'11. Water - Capex Input'!$J75,0)</f>
        <v>0</v>
      </c>
      <c r="E649" s="30">
        <f>IF('11. Water - Capex Input'!$I75=E$3,'11. Water - Capex Input'!$J75,0)</f>
        <v>1593640.54</v>
      </c>
      <c r="F649" s="30">
        <f>IF('11. Water - Capex Input'!$I75=F$3,'11. Water - Capex Input'!$J75,0)</f>
        <v>0</v>
      </c>
      <c r="G649" s="30">
        <f>IF('11. Water - Capex Input'!$I75=G$3,'11. Water - Capex Input'!$J75,0)</f>
        <v>0</v>
      </c>
      <c r="H649" s="30">
        <f>IF('11. Water - Capex Input'!$I75=H$3,'11. Water - Capex Input'!$J75,0)</f>
        <v>0</v>
      </c>
    </row>
    <row r="650" spans="2:8">
      <c r="B650" s="152">
        <f t="shared" si="29"/>
        <v>0</v>
      </c>
      <c r="D650" s="30">
        <f>IF('11. Water - Capex Input'!$I76=D$3,'11. Water - Capex Input'!$J76,0)</f>
        <v>0</v>
      </c>
      <c r="E650" s="30">
        <f>IF('11. Water - Capex Input'!$I76=E$3,'11. Water - Capex Input'!$J76,0)</f>
        <v>0</v>
      </c>
      <c r="F650" s="30">
        <f>IF('11. Water - Capex Input'!$I76=F$3,'11. Water - Capex Input'!$J76,0)</f>
        <v>108025</v>
      </c>
      <c r="G650" s="30">
        <f>IF('11. Water - Capex Input'!$I76=G$3,'11. Water - Capex Input'!$J76,0)</f>
        <v>0</v>
      </c>
      <c r="H650" s="30">
        <f>IF('11. Water - Capex Input'!$I76=H$3,'11. Water - Capex Input'!$J76,0)</f>
        <v>0</v>
      </c>
    </row>
    <row r="651" spans="2:8">
      <c r="B651" s="152">
        <f t="shared" si="29"/>
        <v>0</v>
      </c>
      <c r="D651" s="30">
        <f>IF('11. Water - Capex Input'!$I77=D$3,'11. Water - Capex Input'!$J77,0)</f>
        <v>0</v>
      </c>
      <c r="E651" s="30">
        <f>IF('11. Water - Capex Input'!$I77=E$3,'11. Water - Capex Input'!$J77,0)</f>
        <v>0</v>
      </c>
      <c r="F651" s="30">
        <f>IF('11. Water - Capex Input'!$I77=F$3,'11. Water - Capex Input'!$J77,0)</f>
        <v>0</v>
      </c>
      <c r="G651" s="30">
        <f>IF('11. Water - Capex Input'!$I77=G$3,'11. Water - Capex Input'!$J77,0)</f>
        <v>1147332</v>
      </c>
      <c r="H651" s="30">
        <f>IF('11. Water - Capex Input'!$I77=H$3,'11. Water - Capex Input'!$J77,0)</f>
        <v>0</v>
      </c>
    </row>
    <row r="652" spans="2:8">
      <c r="B652" s="152">
        <f t="shared" si="29"/>
        <v>0</v>
      </c>
      <c r="D652" s="30">
        <f>IF('11. Water - Capex Input'!$I78=D$3,'11. Water - Capex Input'!$J78,0)</f>
        <v>0</v>
      </c>
      <c r="E652" s="30">
        <f>IF('11. Water - Capex Input'!$I78=E$3,'11. Water - Capex Input'!$J78,0)</f>
        <v>0</v>
      </c>
      <c r="F652" s="30">
        <f>IF('11. Water - Capex Input'!$I78=F$3,'11. Water - Capex Input'!$J78,0)</f>
        <v>0</v>
      </c>
      <c r="G652" s="30">
        <f>IF('11. Water - Capex Input'!$I78=G$3,'11. Water - Capex Input'!$J78,0)</f>
        <v>111064</v>
      </c>
      <c r="H652" s="30">
        <f>IF('11. Water - Capex Input'!$I78=H$3,'11. Water - Capex Input'!$J78,0)</f>
        <v>0</v>
      </c>
    </row>
    <row r="653" spans="2:8">
      <c r="B653" s="152">
        <f t="shared" si="29"/>
        <v>0</v>
      </c>
      <c r="D653" s="30">
        <f>IF('11. Water - Capex Input'!$I79=D$3,'11. Water - Capex Input'!$J79,0)</f>
        <v>0</v>
      </c>
      <c r="E653" s="30">
        <f>IF('11. Water - Capex Input'!$I79=E$3,'11. Water - Capex Input'!$J79,0)</f>
        <v>0</v>
      </c>
      <c r="F653" s="30">
        <f>IF('11. Water - Capex Input'!$I79=F$3,'11. Water - Capex Input'!$J79,0)</f>
        <v>0</v>
      </c>
      <c r="G653" s="30">
        <f>IF('11. Water - Capex Input'!$I79=G$3,'11. Water - Capex Input'!$J79,0)</f>
        <v>0</v>
      </c>
      <c r="H653" s="30">
        <f>IF('11. Water - Capex Input'!$I79=H$3,'11. Water - Capex Input'!$J79,0)</f>
        <v>1041565</v>
      </c>
    </row>
    <row r="654" spans="2:8">
      <c r="B654" s="152">
        <f t="shared" si="29"/>
        <v>0</v>
      </c>
      <c r="D654" s="30">
        <f>IF('11. Water - Capex Input'!$I80=D$3,'11. Water - Capex Input'!$J80,0)</f>
        <v>389154.22000000003</v>
      </c>
      <c r="E654" s="30">
        <f>IF('11. Water - Capex Input'!$I80=E$3,'11. Water - Capex Input'!$J80,0)</f>
        <v>0</v>
      </c>
      <c r="F654" s="30">
        <f>IF('11. Water - Capex Input'!$I80=F$3,'11. Water - Capex Input'!$J80,0)</f>
        <v>0</v>
      </c>
      <c r="G654" s="30">
        <f>IF('11. Water - Capex Input'!$I80=G$3,'11. Water - Capex Input'!$J80,0)</f>
        <v>0</v>
      </c>
      <c r="H654" s="30">
        <f>IF('11. Water - Capex Input'!$I80=H$3,'11. Water - Capex Input'!$J80,0)</f>
        <v>0</v>
      </c>
    </row>
    <row r="655" spans="2:8">
      <c r="B655" s="152">
        <f t="shared" si="29"/>
        <v>0</v>
      </c>
      <c r="D655" s="30">
        <f>IF('11. Water - Capex Input'!$I81=D$3,'11. Water - Capex Input'!$J81,0)</f>
        <v>0</v>
      </c>
      <c r="E655" s="30">
        <f>IF('11. Water - Capex Input'!$I81=E$3,'11. Water - Capex Input'!$J81,0)</f>
        <v>711567.76</v>
      </c>
      <c r="F655" s="30">
        <f>IF('11. Water - Capex Input'!$I81=F$3,'11. Water - Capex Input'!$J81,0)</f>
        <v>0</v>
      </c>
      <c r="G655" s="30">
        <f>IF('11. Water - Capex Input'!$I81=G$3,'11. Water - Capex Input'!$J81,0)</f>
        <v>0</v>
      </c>
      <c r="H655" s="30">
        <f>IF('11. Water - Capex Input'!$I81=H$3,'11. Water - Capex Input'!$J81,0)</f>
        <v>0</v>
      </c>
    </row>
    <row r="656" spans="2:8">
      <c r="B656" s="152">
        <f t="shared" si="29"/>
        <v>0</v>
      </c>
      <c r="D656" s="30">
        <f>IF('11. Water - Capex Input'!$I82=D$3,'11. Water - Capex Input'!$J82,0)</f>
        <v>0</v>
      </c>
      <c r="E656" s="30">
        <f>IF('11. Water - Capex Input'!$I82=E$3,'11. Water - Capex Input'!$J82,0)</f>
        <v>0</v>
      </c>
      <c r="F656" s="30">
        <f>IF('11. Water - Capex Input'!$I82=F$3,'11. Water - Capex Input'!$J82,0)</f>
        <v>0</v>
      </c>
      <c r="G656" s="30">
        <f>IF('11. Water - Capex Input'!$I82=G$3,'11. Water - Capex Input'!$J82,0)</f>
        <v>416491</v>
      </c>
      <c r="H656" s="30">
        <f>IF('11. Water - Capex Input'!$I82=H$3,'11. Water - Capex Input'!$J82,0)</f>
        <v>0</v>
      </c>
    </row>
    <row r="657" spans="2:8">
      <c r="B657" s="152">
        <f t="shared" si="29"/>
        <v>0</v>
      </c>
      <c r="D657" s="30">
        <f>IF('11. Water - Capex Input'!$I83=D$3,'11. Water - Capex Input'!$J83,0)</f>
        <v>0</v>
      </c>
      <c r="E657" s="30">
        <f>IF('11. Water - Capex Input'!$I83=E$3,'11. Water - Capex Input'!$J83,0)</f>
        <v>0</v>
      </c>
      <c r="F657" s="30">
        <f>IF('11. Water - Capex Input'!$I83=F$3,'11. Water - Capex Input'!$J83,0)</f>
        <v>0</v>
      </c>
      <c r="G657" s="30">
        <f>IF('11. Water - Capex Input'!$I83=G$3,'11. Water - Capex Input'!$J83,0)</f>
        <v>0</v>
      </c>
      <c r="H657" s="30">
        <f>IF('11. Water - Capex Input'!$I83=H$3,'11. Water - Capex Input'!$J83,0)</f>
        <v>585791</v>
      </c>
    </row>
    <row r="658" spans="2:8">
      <c r="B658" s="152">
        <f t="shared" si="29"/>
        <v>0</v>
      </c>
      <c r="D658" s="30">
        <f>IF('11. Water - Capex Input'!$I84=D$3,'11. Water - Capex Input'!$J84,0)</f>
        <v>0</v>
      </c>
      <c r="E658" s="30">
        <f>IF('11. Water - Capex Input'!$I84=E$3,'11. Water - Capex Input'!$J84,0)</f>
        <v>0</v>
      </c>
      <c r="F658" s="30">
        <f>IF('11. Water - Capex Input'!$I84=F$3,'11. Water - Capex Input'!$J84,0)</f>
        <v>0</v>
      </c>
      <c r="G658" s="30">
        <f>IF('11. Water - Capex Input'!$I84=G$3,'11. Water - Capex Input'!$J84,0)</f>
        <v>138830</v>
      </c>
      <c r="H658" s="30">
        <f>IF('11. Water - Capex Input'!$I84=H$3,'11. Water - Capex Input'!$J84,0)</f>
        <v>0</v>
      </c>
    </row>
    <row r="659" spans="2:8">
      <c r="B659" s="152">
        <f t="shared" si="29"/>
        <v>0</v>
      </c>
      <c r="D659" s="30">
        <f>IF('11. Water - Capex Input'!$I85=D$3,'11. Water - Capex Input'!$J85,0)</f>
        <v>0</v>
      </c>
      <c r="E659" s="30">
        <f>IF('11. Water - Capex Input'!$I85=E$3,'11. Water - Capex Input'!$J85,0)</f>
        <v>0</v>
      </c>
      <c r="F659" s="30">
        <f>IF('11. Water - Capex Input'!$I85=F$3,'11. Water - Capex Input'!$J85,0)</f>
        <v>0</v>
      </c>
      <c r="G659" s="30">
        <f>IF('11. Water - Capex Input'!$I85=G$3,'11. Water - Capex Input'!$J85,0)</f>
        <v>0</v>
      </c>
      <c r="H659" s="30">
        <f>IF('11. Water - Capex Input'!$I85=H$3,'11. Water - Capex Input'!$J85,0)</f>
        <v>857255</v>
      </c>
    </row>
    <row r="660" spans="2:8">
      <c r="B660" s="152">
        <f t="shared" si="29"/>
        <v>0</v>
      </c>
      <c r="D660" s="30">
        <f>IF('11. Water - Capex Input'!$I86=D$3,'11. Water - Capex Input'!$J86,0)</f>
        <v>0</v>
      </c>
      <c r="E660" s="30">
        <f>IF('11. Water - Capex Input'!$I86=E$3,'11. Water - Capex Input'!$J86,0)</f>
        <v>0</v>
      </c>
      <c r="F660" s="30">
        <f>IF('11. Water - Capex Input'!$I86=F$3,'11. Water - Capex Input'!$J86,0)</f>
        <v>0</v>
      </c>
      <c r="G660" s="30">
        <f>IF('11. Water - Capex Input'!$I86=G$3,'11. Water - Capex Input'!$J86,0)</f>
        <v>194362</v>
      </c>
      <c r="H660" s="30">
        <f>IF('11. Water - Capex Input'!$I86=H$3,'11. Water - Capex Input'!$J86,0)</f>
        <v>0</v>
      </c>
    </row>
    <row r="661" spans="2:8">
      <c r="B661" s="152">
        <f t="shared" si="29"/>
        <v>0</v>
      </c>
      <c r="D661" s="30">
        <f>IF('11. Water - Capex Input'!$I87=D$3,'11. Water - Capex Input'!$J87,0)</f>
        <v>0</v>
      </c>
      <c r="E661" s="30">
        <f>IF('11. Water - Capex Input'!$I87=E$3,'11. Water - Capex Input'!$J87,0)</f>
        <v>0</v>
      </c>
      <c r="F661" s="30">
        <f>IF('11. Water - Capex Input'!$I87=F$3,'11. Water - Capex Input'!$J87,0)</f>
        <v>0</v>
      </c>
      <c r="G661" s="30">
        <f>IF('11. Water - Capex Input'!$I87=G$3,'11. Water - Capex Input'!$J87,0)</f>
        <v>0</v>
      </c>
      <c r="H661" s="30">
        <f>IF('11. Water - Capex Input'!$I87=H$3,'11. Water - Capex Input'!$J87,0)</f>
        <v>685804</v>
      </c>
    </row>
    <row r="662" spans="2:8">
      <c r="B662" s="152">
        <f t="shared" si="29"/>
        <v>0</v>
      </c>
      <c r="D662" s="30">
        <f>IF('11. Water - Capex Input'!$I88=D$3,'11. Water - Capex Input'!$J88,0)</f>
        <v>0</v>
      </c>
      <c r="E662" s="30">
        <f>IF('11. Water - Capex Input'!$I88=E$3,'11. Water - Capex Input'!$J88,0)</f>
        <v>0</v>
      </c>
      <c r="F662" s="30">
        <f>IF('11. Water - Capex Input'!$I88=F$3,'11. Water - Capex Input'!$J88,0)</f>
        <v>270063</v>
      </c>
      <c r="G662" s="30">
        <f>IF('11. Water - Capex Input'!$I88=G$3,'11. Water - Capex Input'!$J88,0)</f>
        <v>0</v>
      </c>
      <c r="H662" s="30">
        <f>IF('11. Water - Capex Input'!$I88=H$3,'11. Water - Capex Input'!$J88,0)</f>
        <v>0</v>
      </c>
    </row>
    <row r="663" spans="2:8">
      <c r="B663" s="152">
        <f t="shared" si="29"/>
        <v>0</v>
      </c>
      <c r="D663" s="30">
        <f>IF('11. Water - Capex Input'!$I89=D$3,'11. Water - Capex Input'!$J89,0)</f>
        <v>0</v>
      </c>
      <c r="E663" s="30">
        <f>IF('11. Water - Capex Input'!$I89=E$3,'11. Water - Capex Input'!$J89,0)</f>
        <v>0</v>
      </c>
      <c r="F663" s="30">
        <f>IF('11. Water - Capex Input'!$I89=F$3,'11. Water - Capex Input'!$J89,0)</f>
        <v>0</v>
      </c>
      <c r="G663" s="30">
        <f>IF('11. Water - Capex Input'!$I89=G$3,'11. Water - Capex Input'!$J89,0)</f>
        <v>277661</v>
      </c>
      <c r="H663" s="30">
        <f>IF('11. Water - Capex Input'!$I89=H$3,'11. Water - Capex Input'!$J89,0)</f>
        <v>0</v>
      </c>
    </row>
    <row r="664" spans="2:8">
      <c r="B664" s="152">
        <f t="shared" si="29"/>
        <v>0</v>
      </c>
      <c r="D664" s="30">
        <f>IF('11. Water - Capex Input'!$I90=D$3,'11. Water - Capex Input'!$J90,0)</f>
        <v>0</v>
      </c>
      <c r="E664" s="30">
        <f>IF('11. Water - Capex Input'!$I90=E$3,'11. Water - Capex Input'!$J90,0)</f>
        <v>0</v>
      </c>
      <c r="F664" s="30">
        <f>IF('11. Water - Capex Input'!$I90=F$3,'11. Water - Capex Input'!$J90,0)</f>
        <v>0</v>
      </c>
      <c r="G664" s="30">
        <f>IF('11. Water - Capex Input'!$I90=G$3,'11. Water - Capex Input'!$J90,0)</f>
        <v>0</v>
      </c>
      <c r="H664" s="30">
        <f>IF('11. Water - Capex Input'!$I90=H$3,'11. Water - Capex Input'!$J90,0)</f>
        <v>328615</v>
      </c>
    </row>
    <row r="665" spans="2:8">
      <c r="B665" s="152">
        <f t="shared" si="29"/>
        <v>0</v>
      </c>
      <c r="D665" s="30">
        <f>IF('11. Water - Capex Input'!$I91=D$3,'11. Water - Capex Input'!$J91,0)</f>
        <v>0</v>
      </c>
      <c r="E665" s="30">
        <f>IF('11. Water - Capex Input'!$I91=E$3,'11. Water - Capex Input'!$J91,0)</f>
        <v>0</v>
      </c>
      <c r="F665" s="30">
        <f>IF('11. Water - Capex Input'!$I91=F$3,'11. Water - Capex Input'!$J91,0)</f>
        <v>0</v>
      </c>
      <c r="G665" s="30">
        <f>IF('11. Water - Capex Input'!$I91=G$3,'11. Water - Capex Input'!$J91,0)</f>
        <v>0</v>
      </c>
      <c r="H665" s="30">
        <f>IF('11. Water - Capex Input'!$I91=H$3,'11. Water - Capex Input'!$J91,0)</f>
        <v>714379</v>
      </c>
    </row>
    <row r="666" spans="2:8">
      <c r="B666" s="152">
        <f t="shared" si="29"/>
        <v>0</v>
      </c>
      <c r="D666" s="30">
        <f>IF('11. Water - Capex Input'!$I92=D$3,'11. Water - Capex Input'!$J92,0)</f>
        <v>0</v>
      </c>
      <c r="E666" s="30">
        <f>IF('11. Water - Capex Input'!$I92=E$3,'11. Water - Capex Input'!$J92,0)</f>
        <v>0</v>
      </c>
      <c r="F666" s="30">
        <f>IF('11. Water - Capex Input'!$I92=F$3,'11. Water - Capex Input'!$J92,0)</f>
        <v>0</v>
      </c>
      <c r="G666" s="30">
        <f>IF('11. Water - Capex Input'!$I92=G$3,'11. Water - Capex Input'!$J92,0)</f>
        <v>0</v>
      </c>
      <c r="H666" s="30">
        <f>IF('11. Water - Capex Input'!$I92=H$3,'11. Water - Capex Input'!$J92,0)</f>
        <v>714379</v>
      </c>
    </row>
    <row r="667" spans="2:8">
      <c r="B667" s="152">
        <f t="shared" si="29"/>
        <v>0</v>
      </c>
      <c r="D667" s="30">
        <f>IF('11. Water - Capex Input'!$I93=D$3,'11. Water - Capex Input'!$J93,0)</f>
        <v>0</v>
      </c>
      <c r="E667" s="30">
        <f>IF('11. Water - Capex Input'!$I93=E$3,'11. Water - Capex Input'!$J93,0)</f>
        <v>0</v>
      </c>
      <c r="F667" s="30">
        <f>IF('11. Water - Capex Input'!$I93=F$3,'11. Water - Capex Input'!$J93,0)</f>
        <v>0</v>
      </c>
      <c r="G667" s="30">
        <f>IF('11. Water - Capex Input'!$I93=G$3,'11. Water - Capex Input'!$J93,0)</f>
        <v>171337.07761766078</v>
      </c>
      <c r="H667" s="30">
        <f>IF('11. Water - Capex Input'!$I93=H$3,'11. Water - Capex Input'!$J93,0)</f>
        <v>0</v>
      </c>
    </row>
    <row r="668" spans="2:8">
      <c r="B668" s="152">
        <f t="shared" si="29"/>
        <v>0</v>
      </c>
      <c r="D668" s="30">
        <f>IF('11. Water - Capex Input'!$I94=D$3,'11. Water - Capex Input'!$J94,0)</f>
        <v>0</v>
      </c>
      <c r="E668" s="30">
        <f>IF('11. Water - Capex Input'!$I94=E$3,'11. Water - Capex Input'!$J94,0)</f>
        <v>0</v>
      </c>
      <c r="F668" s="30">
        <f>IF('11. Water - Capex Input'!$I94=F$3,'11. Water - Capex Input'!$J94,0)</f>
        <v>0</v>
      </c>
      <c r="G668" s="30">
        <f>IF('11. Water - Capex Input'!$I94=G$3,'11. Water - Capex Input'!$J94,0)</f>
        <v>0</v>
      </c>
      <c r="H668" s="30">
        <f>IF('11. Water - Capex Input'!$I94=H$3,'11. Water - Capex Input'!$J94,0)</f>
        <v>540126.17785906384</v>
      </c>
    </row>
    <row r="669" spans="2:8">
      <c r="B669" s="152">
        <f t="shared" si="29"/>
        <v>0</v>
      </c>
      <c r="D669" s="30">
        <f>IF('11. Water - Capex Input'!$I95=D$3,'11. Water - Capex Input'!$J95,0)</f>
        <v>0</v>
      </c>
      <c r="E669" s="30">
        <f>IF('11. Water - Capex Input'!$I95=E$3,'11. Water - Capex Input'!$J95,0)</f>
        <v>0</v>
      </c>
      <c r="F669" s="30">
        <f>IF('11. Water - Capex Input'!$I95=F$3,'11. Water - Capex Input'!$J95,0)</f>
        <v>0</v>
      </c>
      <c r="G669" s="30">
        <f>IF('11. Water - Capex Input'!$I95=G$3,'11. Water - Capex Input'!$J95,0)</f>
        <v>654238</v>
      </c>
      <c r="H669" s="30">
        <f>IF('11. Water - Capex Input'!$I95=H$3,'11. Water - Capex Input'!$J95,0)</f>
        <v>0</v>
      </c>
    </row>
    <row r="670" spans="2:8">
      <c r="B670" s="152">
        <f t="shared" si="29"/>
        <v>0</v>
      </c>
      <c r="D670" s="30">
        <f>IF('11. Water - Capex Input'!$I96=D$3,'11. Water - Capex Input'!$J96,0)</f>
        <v>643269.34000000008</v>
      </c>
      <c r="E670" s="30">
        <f>IF('11. Water - Capex Input'!$I96=E$3,'11. Water - Capex Input'!$J96,0)</f>
        <v>0</v>
      </c>
      <c r="F670" s="30">
        <f>IF('11. Water - Capex Input'!$I96=F$3,'11. Water - Capex Input'!$J96,0)</f>
        <v>0</v>
      </c>
      <c r="G670" s="30">
        <f>IF('11. Water - Capex Input'!$I96=G$3,'11. Water - Capex Input'!$J96,0)</f>
        <v>0</v>
      </c>
      <c r="H670" s="30">
        <f>IF('11. Water - Capex Input'!$I96=H$3,'11. Water - Capex Input'!$J96,0)</f>
        <v>0</v>
      </c>
    </row>
    <row r="671" spans="2:8">
      <c r="B671" s="152">
        <f t="shared" si="29"/>
        <v>0</v>
      </c>
      <c r="D671" s="30">
        <f>IF('11. Water - Capex Input'!$I97=D$3,'11. Water - Capex Input'!$J97,0)</f>
        <v>0</v>
      </c>
      <c r="E671" s="30">
        <f>IF('11. Water - Capex Input'!$I97=E$3,'11. Water - Capex Input'!$J97,0)</f>
        <v>0</v>
      </c>
      <c r="F671" s="30">
        <f>IF('11. Water - Capex Input'!$I97=F$3,'11. Water - Capex Input'!$J97,0)</f>
        <v>614394</v>
      </c>
      <c r="G671" s="30">
        <f>IF('11. Water - Capex Input'!$I97=G$3,'11. Water - Capex Input'!$J97,0)</f>
        <v>0</v>
      </c>
      <c r="H671" s="30">
        <f>IF('11. Water - Capex Input'!$I97=H$3,'11. Water - Capex Input'!$J97,0)</f>
        <v>0</v>
      </c>
    </row>
    <row r="672" spans="2:8">
      <c r="B672" s="152">
        <f t="shared" si="29"/>
        <v>0</v>
      </c>
      <c r="D672" s="30">
        <f>IF('11. Water - Capex Input'!$I98=D$3,'11. Water - Capex Input'!$J98,0)</f>
        <v>0</v>
      </c>
      <c r="E672" s="30">
        <f>IF('11. Water - Capex Input'!$I98=E$3,'11. Water - Capex Input'!$J98,0)</f>
        <v>0</v>
      </c>
      <c r="F672" s="30">
        <f>IF('11. Water - Capex Input'!$I98=F$3,'11. Water - Capex Input'!$J98,0)</f>
        <v>0</v>
      </c>
      <c r="G672" s="30">
        <f>IF('11. Water - Capex Input'!$I98=G$3,'11. Water - Capex Input'!$J98,0)</f>
        <v>111064</v>
      </c>
      <c r="H672" s="30">
        <f>IF('11. Water - Capex Input'!$I98=H$3,'11. Water - Capex Input'!$J98,0)</f>
        <v>0</v>
      </c>
    </row>
    <row r="673" spans="2:8">
      <c r="B673" s="152">
        <f t="shared" si="29"/>
        <v>0</v>
      </c>
      <c r="D673" s="30">
        <f>IF('11. Water - Capex Input'!$I99=D$3,'11. Water - Capex Input'!$J99,0)</f>
        <v>0</v>
      </c>
      <c r="E673" s="30">
        <f>IF('11. Water - Capex Input'!$I99=E$3,'11. Water - Capex Input'!$J99,0)</f>
        <v>0</v>
      </c>
      <c r="F673" s="30">
        <f>IF('11. Water - Capex Input'!$I99=F$3,'11. Water - Capex Input'!$J99,0)</f>
        <v>0</v>
      </c>
      <c r="G673" s="30">
        <f>IF('11. Water - Capex Input'!$I99=G$3,'11. Water - Capex Input'!$J99,0)</f>
        <v>0</v>
      </c>
      <c r="H673" s="30">
        <f>IF('11. Water - Capex Input'!$I99=H$3,'11. Water - Capex Input'!$J99,0)</f>
        <v>457203</v>
      </c>
    </row>
    <row r="674" spans="2:8">
      <c r="B674" s="152">
        <f t="shared" si="29"/>
        <v>0</v>
      </c>
      <c r="D674" s="30">
        <f>IF('11. Water - Capex Input'!$I100=D$3,'11. Water - Capex Input'!$J100,0)</f>
        <v>35377.360000000008</v>
      </c>
      <c r="E674" s="30">
        <f>IF('11. Water - Capex Input'!$I100=E$3,'11. Water - Capex Input'!$J100,0)</f>
        <v>0</v>
      </c>
      <c r="F674" s="30">
        <f>IF('11. Water - Capex Input'!$I100=F$3,'11. Water - Capex Input'!$J100,0)</f>
        <v>0</v>
      </c>
      <c r="G674" s="30">
        <f>IF('11. Water - Capex Input'!$I100=G$3,'11. Water - Capex Input'!$J100,0)</f>
        <v>0</v>
      </c>
      <c r="H674" s="30">
        <f>IF('11. Water - Capex Input'!$I100=H$3,'11. Water - Capex Input'!$J100,0)</f>
        <v>0</v>
      </c>
    </row>
    <row r="675" spans="2:8">
      <c r="B675" s="152">
        <f t="shared" si="29"/>
        <v>0</v>
      </c>
      <c r="D675" s="30">
        <f>IF('11. Water - Capex Input'!$I101=D$3,'11. Water - Capex Input'!$J101,0)</f>
        <v>0</v>
      </c>
      <c r="E675" s="30">
        <f>IF('11. Water - Capex Input'!$I101=E$3,'11. Water - Capex Input'!$J101,0)</f>
        <v>481377.5</v>
      </c>
      <c r="F675" s="30">
        <f>IF('11. Water - Capex Input'!$I101=F$3,'11. Water - Capex Input'!$J101,0)</f>
        <v>0</v>
      </c>
      <c r="G675" s="30">
        <f>IF('11. Water - Capex Input'!$I101=G$3,'11. Water - Capex Input'!$J101,0)</f>
        <v>0</v>
      </c>
      <c r="H675" s="30">
        <f>IF('11. Water - Capex Input'!$I101=H$3,'11. Water - Capex Input'!$J101,0)</f>
        <v>0</v>
      </c>
    </row>
    <row r="676" spans="2:8">
      <c r="B676" s="152">
        <f t="shared" si="29"/>
        <v>0</v>
      </c>
      <c r="D676" s="30">
        <f>IF('11. Water - Capex Input'!$I102=D$3,'11. Water - Capex Input'!$J102,0)</f>
        <v>0</v>
      </c>
      <c r="E676" s="30">
        <f>IF('11. Water - Capex Input'!$I102=E$3,'11. Water - Capex Input'!$J102,0)</f>
        <v>0</v>
      </c>
      <c r="F676" s="30">
        <f>IF('11. Water - Capex Input'!$I102=F$3,'11. Water - Capex Input'!$J102,0)</f>
        <v>0</v>
      </c>
      <c r="G676" s="30">
        <f>IF('11. Water - Capex Input'!$I102=G$3,'11. Water - Capex Input'!$J102,0)</f>
        <v>0</v>
      </c>
      <c r="H676" s="30">
        <f>IF('11. Water - Capex Input'!$I102=H$3,'11. Water - Capex Input'!$J102,0)</f>
        <v>470062</v>
      </c>
    </row>
    <row r="677" spans="2:8">
      <c r="B677" s="152">
        <f t="shared" si="29"/>
        <v>0</v>
      </c>
      <c r="D677" s="30">
        <f>IF('11. Water - Capex Input'!$I103=D$3,'11. Water - Capex Input'!$J103,0)</f>
        <v>20264.030000000002</v>
      </c>
      <c r="E677" s="30">
        <f>IF('11. Water - Capex Input'!$I103=E$3,'11. Water - Capex Input'!$J103,0)</f>
        <v>0</v>
      </c>
      <c r="F677" s="30">
        <f>IF('11. Water - Capex Input'!$I103=F$3,'11. Water - Capex Input'!$J103,0)</f>
        <v>0</v>
      </c>
      <c r="G677" s="30">
        <f>IF('11. Water - Capex Input'!$I103=G$3,'11. Water - Capex Input'!$J103,0)</f>
        <v>0</v>
      </c>
      <c r="H677" s="30">
        <f>IF('11. Water - Capex Input'!$I103=H$3,'11. Water - Capex Input'!$J103,0)</f>
        <v>0</v>
      </c>
    </row>
    <row r="678" spans="2:8">
      <c r="B678" s="152">
        <f t="shared" si="29"/>
        <v>0</v>
      </c>
      <c r="D678" s="30">
        <f>IF('11. Water - Capex Input'!$I104=D$3,'11. Water - Capex Input'!$J104,0)</f>
        <v>0</v>
      </c>
      <c r="E678" s="30">
        <f>IF('11. Water - Capex Input'!$I104=E$3,'11. Water - Capex Input'!$J104,0)</f>
        <v>372199.73</v>
      </c>
      <c r="F678" s="30">
        <f>IF('11. Water - Capex Input'!$I104=F$3,'11. Water - Capex Input'!$J104,0)</f>
        <v>0</v>
      </c>
      <c r="G678" s="30">
        <f>IF('11. Water - Capex Input'!$I104=G$3,'11. Water - Capex Input'!$J104,0)</f>
        <v>0</v>
      </c>
      <c r="H678" s="30">
        <f>IF('11. Water - Capex Input'!$I104=H$3,'11. Water - Capex Input'!$J104,0)</f>
        <v>0</v>
      </c>
    </row>
    <row r="679" spans="2:8">
      <c r="B679" s="152">
        <f t="shared" si="29"/>
        <v>0</v>
      </c>
      <c r="D679" s="30">
        <f>IF('11. Water - Capex Input'!$I105=D$3,'11. Water - Capex Input'!$J105,0)</f>
        <v>0</v>
      </c>
      <c r="E679" s="30">
        <f>IF('11. Water - Capex Input'!$I105=E$3,'11. Water - Capex Input'!$J105,0)</f>
        <v>0</v>
      </c>
      <c r="F679" s="30">
        <f>IF('11. Water - Capex Input'!$I105=F$3,'11. Water - Capex Input'!$J105,0)</f>
        <v>46752</v>
      </c>
      <c r="G679" s="30">
        <f>IF('11. Water - Capex Input'!$I105=G$3,'11. Water - Capex Input'!$J105,0)</f>
        <v>0</v>
      </c>
      <c r="H679" s="30">
        <f>IF('11. Water - Capex Input'!$I105=H$3,'11. Water - Capex Input'!$J105,0)</f>
        <v>0</v>
      </c>
    </row>
    <row r="680" spans="2:8">
      <c r="B680" s="152">
        <f t="shared" si="29"/>
        <v>0</v>
      </c>
      <c r="D680" s="30">
        <f>IF('11. Water - Capex Input'!$I106=D$3,'11. Water - Capex Input'!$J106,0)</f>
        <v>323764.42999999993</v>
      </c>
      <c r="E680" s="30">
        <f>IF('11. Water - Capex Input'!$I106=E$3,'11. Water - Capex Input'!$J106,0)</f>
        <v>0</v>
      </c>
      <c r="F680" s="30">
        <f>IF('11. Water - Capex Input'!$I106=F$3,'11. Water - Capex Input'!$J106,0)</f>
        <v>0</v>
      </c>
      <c r="G680" s="30">
        <f>IF('11. Water - Capex Input'!$I106=G$3,'11. Water - Capex Input'!$J106,0)</f>
        <v>0</v>
      </c>
      <c r="H680" s="30">
        <f>IF('11. Water - Capex Input'!$I106=H$3,'11. Water - Capex Input'!$J106,0)</f>
        <v>0</v>
      </c>
    </row>
    <row r="681" spans="2:8">
      <c r="B681" s="152">
        <f t="shared" si="29"/>
        <v>0</v>
      </c>
      <c r="D681" s="30">
        <f>IF('11. Water - Capex Input'!$I107=D$3,'11. Water - Capex Input'!$J107,0)</f>
        <v>0</v>
      </c>
      <c r="E681" s="30">
        <f>IF('11. Water - Capex Input'!$I107=E$3,'11. Water - Capex Input'!$J107,0)</f>
        <v>0</v>
      </c>
      <c r="F681" s="30">
        <f>IF('11. Water - Capex Input'!$I107=F$3,'11. Water - Capex Input'!$J107,0)</f>
        <v>0</v>
      </c>
      <c r="G681" s="30">
        <f>IF('11. Water - Capex Input'!$I107=G$3,'11. Water - Capex Input'!$J107,0)</f>
        <v>0</v>
      </c>
      <c r="H681" s="30">
        <f>IF('11. Water - Capex Input'!$I107=H$3,'11. Water - Capex Input'!$J107,0)</f>
        <v>307183</v>
      </c>
    </row>
    <row r="682" spans="2:8">
      <c r="B682" s="152">
        <f t="shared" si="29"/>
        <v>0</v>
      </c>
      <c r="D682" s="30">
        <f>IF('11. Water - Capex Input'!$I108=D$3,'11. Water - Capex Input'!$J108,0)</f>
        <v>0</v>
      </c>
      <c r="E682" s="30">
        <f>IF('11. Water - Capex Input'!$I108=E$3,'11. Water - Capex Input'!$J108,0)</f>
        <v>0</v>
      </c>
      <c r="F682" s="30">
        <f>IF('11. Water - Capex Input'!$I108=F$3,'11. Water - Capex Input'!$J108,0)</f>
        <v>0</v>
      </c>
      <c r="G682" s="30">
        <f>IF('11. Water - Capex Input'!$I108=G$3,'11. Water - Capex Input'!$J108,0)</f>
        <v>0</v>
      </c>
      <c r="H682" s="30">
        <f>IF('11. Water - Capex Input'!$I108=H$3,'11. Water - Capex Input'!$J108,0)</f>
        <v>307183</v>
      </c>
    </row>
    <row r="683" spans="2:8">
      <c r="B683" s="152">
        <f t="shared" si="29"/>
        <v>0</v>
      </c>
      <c r="D683" s="30">
        <f>IF('11. Water - Capex Input'!$I109=D$3,'11. Water - Capex Input'!$J109,0)</f>
        <v>6588.7100000000009</v>
      </c>
      <c r="E683" s="30">
        <f>IF('11. Water - Capex Input'!$I109=E$3,'11. Water - Capex Input'!$J109,0)</f>
        <v>0</v>
      </c>
      <c r="F683" s="30">
        <f>IF('11. Water - Capex Input'!$I109=F$3,'11. Water - Capex Input'!$J109,0)</f>
        <v>0</v>
      </c>
      <c r="G683" s="30">
        <f>IF('11. Water - Capex Input'!$I109=G$3,'11. Water - Capex Input'!$J109,0)</f>
        <v>0</v>
      </c>
      <c r="H683" s="30">
        <f>IF('11. Water - Capex Input'!$I109=H$3,'11. Water - Capex Input'!$J109,0)</f>
        <v>0</v>
      </c>
    </row>
    <row r="684" spans="2:8">
      <c r="B684" s="152">
        <f t="shared" si="29"/>
        <v>0</v>
      </c>
      <c r="D684" s="30">
        <f>IF('11. Water - Capex Input'!$I110=D$3,'11. Water - Capex Input'!$J110,0)</f>
        <v>0</v>
      </c>
      <c r="E684" s="30">
        <f>IF('11. Water - Capex Input'!$I110=E$3,'11. Water - Capex Input'!$J110,0)</f>
        <v>150352</v>
      </c>
      <c r="F684" s="30">
        <f>IF('11. Water - Capex Input'!$I110=F$3,'11. Water - Capex Input'!$J110,0)</f>
        <v>0</v>
      </c>
      <c r="G684" s="30">
        <f>IF('11. Water - Capex Input'!$I110=G$3,'11. Water - Capex Input'!$J110,0)</f>
        <v>0</v>
      </c>
      <c r="H684" s="30">
        <f>IF('11. Water - Capex Input'!$I110=H$3,'11. Water - Capex Input'!$J110,0)</f>
        <v>0</v>
      </c>
    </row>
    <row r="685" spans="2:8">
      <c r="B685" s="152">
        <f t="shared" si="29"/>
        <v>0</v>
      </c>
      <c r="D685" s="30">
        <f>IF('11. Water - Capex Input'!$I111=D$3,'11. Water - Capex Input'!$J111,0)</f>
        <v>0</v>
      </c>
      <c r="E685" s="30">
        <f>IF('11. Water - Capex Input'!$I111=E$3,'11. Water - Capex Input'!$J111,0)</f>
        <v>0</v>
      </c>
      <c r="F685" s="30">
        <f>IF('11. Water - Capex Input'!$I111=F$3,'11. Water - Capex Input'!$J111,0)</f>
        <v>0</v>
      </c>
      <c r="G685" s="30">
        <f>IF('11. Water - Capex Input'!$I111=G$3,'11. Water - Capex Input'!$J111,0)</f>
        <v>0</v>
      </c>
      <c r="H685" s="30">
        <f>IF('11. Water - Capex Input'!$I111=H$3,'11. Water - Capex Input'!$J111,0)</f>
        <v>142876</v>
      </c>
    </row>
    <row r="686" spans="2:8">
      <c r="B686" s="152">
        <f t="shared" si="29"/>
        <v>0</v>
      </c>
      <c r="D686" s="30">
        <f>IF('11. Water - Capex Input'!$I112=D$3,'11. Water - Capex Input'!$J112,0)</f>
        <v>142399.21000000002</v>
      </c>
      <c r="E686" s="30">
        <f>IF('11. Water - Capex Input'!$I112=E$3,'11. Water - Capex Input'!$J112,0)</f>
        <v>0</v>
      </c>
      <c r="F686" s="30">
        <f>IF('11. Water - Capex Input'!$I112=F$3,'11. Water - Capex Input'!$J112,0)</f>
        <v>0</v>
      </c>
      <c r="G686" s="30">
        <f>IF('11. Water - Capex Input'!$I112=G$3,'11. Water - Capex Input'!$J112,0)</f>
        <v>0</v>
      </c>
      <c r="H686" s="30">
        <f>IF('11. Water - Capex Input'!$I112=H$3,'11. Water - Capex Input'!$J112,0)</f>
        <v>0</v>
      </c>
    </row>
    <row r="687" spans="2:8">
      <c r="B687" s="152">
        <f t="shared" si="29"/>
        <v>0</v>
      </c>
      <c r="D687" s="30">
        <f>IF('11. Water - Capex Input'!$I113=D$3,'11. Water - Capex Input'!$J113,0)</f>
        <v>24808.75</v>
      </c>
      <c r="E687" s="30">
        <f>IF('11. Water - Capex Input'!$I113=E$3,'11. Water - Capex Input'!$J113,0)</f>
        <v>0</v>
      </c>
      <c r="F687" s="30">
        <f>IF('11. Water - Capex Input'!$I113=F$3,'11. Water - Capex Input'!$J113,0)</f>
        <v>0</v>
      </c>
      <c r="G687" s="30">
        <f>IF('11. Water - Capex Input'!$I113=G$3,'11. Water - Capex Input'!$J113,0)</f>
        <v>0</v>
      </c>
      <c r="H687" s="30">
        <f>IF('11. Water - Capex Input'!$I113=H$3,'11. Water - Capex Input'!$J113,0)</f>
        <v>0</v>
      </c>
    </row>
    <row r="688" spans="2:8">
      <c r="B688" s="152">
        <f t="shared" si="29"/>
        <v>0</v>
      </c>
      <c r="D688" s="30">
        <f>IF('11. Water - Capex Input'!$I114=D$3,'11. Water - Capex Input'!$J114,0)</f>
        <v>0</v>
      </c>
      <c r="E688" s="30">
        <f>IF('11. Water - Capex Input'!$I114=E$3,'11. Water - Capex Input'!$J114,0)</f>
        <v>215000</v>
      </c>
      <c r="F688" s="30">
        <f>IF('11. Water - Capex Input'!$I114=F$3,'11. Water - Capex Input'!$J114,0)</f>
        <v>0</v>
      </c>
      <c r="G688" s="30">
        <f>IF('11. Water - Capex Input'!$I114=G$3,'11. Water - Capex Input'!$J114,0)</f>
        <v>0</v>
      </c>
      <c r="H688" s="30">
        <f>IF('11. Water - Capex Input'!$I114=H$3,'11. Water - Capex Input'!$J114,0)</f>
        <v>0</v>
      </c>
    </row>
    <row r="689" spans="2:8">
      <c r="B689" s="152">
        <f t="shared" si="29"/>
        <v>0</v>
      </c>
      <c r="D689" s="30">
        <f>IF('11. Water - Capex Input'!$I115=D$3,'11. Water - Capex Input'!$J115,0)</f>
        <v>575003.31999999995</v>
      </c>
      <c r="E689" s="30">
        <f>IF('11. Water - Capex Input'!$I115=E$3,'11. Water - Capex Input'!$J115,0)</f>
        <v>0</v>
      </c>
      <c r="F689" s="30">
        <f>IF('11. Water - Capex Input'!$I115=F$3,'11. Water - Capex Input'!$J115,0)</f>
        <v>0</v>
      </c>
      <c r="G689" s="30">
        <f>IF('11. Water - Capex Input'!$I115=G$3,'11. Water - Capex Input'!$J115,0)</f>
        <v>0</v>
      </c>
      <c r="H689" s="30">
        <f>IF('11. Water - Capex Input'!$I115=H$3,'11. Water - Capex Input'!$J115,0)</f>
        <v>0</v>
      </c>
    </row>
    <row r="690" spans="2:8">
      <c r="B690" s="152">
        <f t="shared" si="29"/>
        <v>0</v>
      </c>
      <c r="D690" s="30">
        <f>IF('11. Water - Capex Input'!$I116=D$3,'11. Water - Capex Input'!$J116,0)</f>
        <v>0</v>
      </c>
      <c r="E690" s="30">
        <f>IF('11. Water - Capex Input'!$I116=E$3,'11. Water - Capex Input'!$J116,0)</f>
        <v>419500.00000000006</v>
      </c>
      <c r="F690" s="30">
        <f>IF('11. Water - Capex Input'!$I116=F$3,'11. Water - Capex Input'!$J116,0)</f>
        <v>0</v>
      </c>
      <c r="G690" s="30">
        <f>IF('11. Water - Capex Input'!$I116=G$3,'11. Water - Capex Input'!$J116,0)</f>
        <v>0</v>
      </c>
      <c r="H690" s="30">
        <f>IF('11. Water - Capex Input'!$I116=H$3,'11. Water - Capex Input'!$J116,0)</f>
        <v>0</v>
      </c>
    </row>
    <row r="691" spans="2:8">
      <c r="B691" s="152">
        <f t="shared" si="29"/>
        <v>0</v>
      </c>
      <c r="D691" s="30">
        <f>IF('11. Water - Capex Input'!$I117=D$3,'11. Water - Capex Input'!$J117,0)</f>
        <v>0</v>
      </c>
      <c r="E691" s="30">
        <f>IF('11. Water - Capex Input'!$I117=E$3,'11. Water - Capex Input'!$J117,0)</f>
        <v>0</v>
      </c>
      <c r="F691" s="30">
        <f>IF('11. Water - Capex Input'!$I117=F$3,'11. Water - Capex Input'!$J117,0)</f>
        <v>450000</v>
      </c>
      <c r="G691" s="30">
        <f>IF('11. Water - Capex Input'!$I117=G$3,'11. Water - Capex Input'!$J117,0)</f>
        <v>0</v>
      </c>
      <c r="H691" s="30">
        <f>IF('11. Water - Capex Input'!$I117=H$3,'11. Water - Capex Input'!$J117,0)</f>
        <v>0</v>
      </c>
    </row>
    <row r="692" spans="2:8">
      <c r="B692" s="152">
        <f t="shared" si="29"/>
        <v>0</v>
      </c>
      <c r="D692" s="30">
        <f>IF('11. Water - Capex Input'!$I118=D$3,'11. Water - Capex Input'!$J118,0)</f>
        <v>0</v>
      </c>
      <c r="E692" s="30">
        <f>IF('11. Water - Capex Input'!$I118=E$3,'11. Water - Capex Input'!$J118,0)</f>
        <v>0</v>
      </c>
      <c r="F692" s="30">
        <f>IF('11. Water - Capex Input'!$I118=F$3,'11. Water - Capex Input'!$J118,0)</f>
        <v>0</v>
      </c>
      <c r="G692" s="30">
        <f>IF('11. Water - Capex Input'!$I118=G$3,'11. Water - Capex Input'!$J118,0)</f>
        <v>450000</v>
      </c>
      <c r="H692" s="30">
        <f>IF('11. Water - Capex Input'!$I118=H$3,'11. Water - Capex Input'!$J118,0)</f>
        <v>0</v>
      </c>
    </row>
    <row r="693" spans="2:8">
      <c r="B693" s="152">
        <f t="shared" si="29"/>
        <v>0</v>
      </c>
      <c r="D693" s="30">
        <f>IF('11. Water - Capex Input'!$I119=D$3,'11. Water - Capex Input'!$J119,0)</f>
        <v>0</v>
      </c>
      <c r="E693" s="30">
        <f>IF('11. Water - Capex Input'!$I119=E$3,'11. Water - Capex Input'!$J119,0)</f>
        <v>0</v>
      </c>
      <c r="F693" s="30">
        <f>IF('11. Water - Capex Input'!$I119=F$3,'11. Water - Capex Input'!$J119,0)</f>
        <v>0</v>
      </c>
      <c r="G693" s="30">
        <f>IF('11. Water - Capex Input'!$I119=G$3,'11. Water - Capex Input'!$J119,0)</f>
        <v>0</v>
      </c>
      <c r="H693" s="30">
        <f>IF('11. Water - Capex Input'!$I119=H$3,'11. Water - Capex Input'!$J119,0)</f>
        <v>450000</v>
      </c>
    </row>
    <row r="694" spans="2:8">
      <c r="B694" s="152">
        <f t="shared" si="29"/>
        <v>0</v>
      </c>
      <c r="D694" s="30">
        <f>IF('11. Water - Capex Input'!$I120=D$3,'11. Water - Capex Input'!$J120,0)</f>
        <v>495012.7</v>
      </c>
      <c r="E694" s="30">
        <f>IF('11. Water - Capex Input'!$I120=E$3,'11. Water - Capex Input'!$J120,0)</f>
        <v>0</v>
      </c>
      <c r="F694" s="30">
        <f>IF('11. Water - Capex Input'!$I120=F$3,'11. Water - Capex Input'!$J120,0)</f>
        <v>0</v>
      </c>
      <c r="G694" s="30">
        <f>IF('11. Water - Capex Input'!$I120=G$3,'11. Water - Capex Input'!$J120,0)</f>
        <v>0</v>
      </c>
      <c r="H694" s="30">
        <f>IF('11. Water - Capex Input'!$I120=H$3,'11. Water - Capex Input'!$J120,0)</f>
        <v>0</v>
      </c>
    </row>
    <row r="695" spans="2:8">
      <c r="B695" s="152">
        <f t="shared" si="29"/>
        <v>0</v>
      </c>
      <c r="D695" s="30">
        <f>IF('11. Water - Capex Input'!$I121=D$3,'11. Water - Capex Input'!$J121,0)</f>
        <v>769424.4700000002</v>
      </c>
      <c r="E695" s="30">
        <f>IF('11. Water - Capex Input'!$I121=E$3,'11. Water - Capex Input'!$J121,0)</f>
        <v>0</v>
      </c>
      <c r="F695" s="30">
        <f>IF('11. Water - Capex Input'!$I121=F$3,'11. Water - Capex Input'!$J121,0)</f>
        <v>0</v>
      </c>
      <c r="G695" s="30">
        <f>IF('11. Water - Capex Input'!$I121=G$3,'11. Water - Capex Input'!$J121,0)</f>
        <v>0</v>
      </c>
      <c r="H695" s="30">
        <f>IF('11. Water - Capex Input'!$I121=H$3,'11. Water - Capex Input'!$J121,0)</f>
        <v>0</v>
      </c>
    </row>
    <row r="696" spans="2:8">
      <c r="B696" s="152">
        <f t="shared" si="29"/>
        <v>0</v>
      </c>
      <c r="D696" s="30">
        <f>IF('11. Water - Capex Input'!$I122=D$3,'11. Water - Capex Input'!$J122,0)</f>
        <v>0</v>
      </c>
      <c r="E696" s="30">
        <f>IF('11. Water - Capex Input'!$I122=E$3,'11. Water - Capex Input'!$J122,0)</f>
        <v>488999.66</v>
      </c>
      <c r="F696" s="30">
        <f>IF('11. Water - Capex Input'!$I122=F$3,'11. Water - Capex Input'!$J122,0)</f>
        <v>0</v>
      </c>
      <c r="G696" s="30">
        <f>IF('11. Water - Capex Input'!$I122=G$3,'11. Water - Capex Input'!$J122,0)</f>
        <v>0</v>
      </c>
      <c r="H696" s="30">
        <f>IF('11. Water - Capex Input'!$I122=H$3,'11. Water - Capex Input'!$J122,0)</f>
        <v>0</v>
      </c>
    </row>
    <row r="697" spans="2:8">
      <c r="B697" s="152">
        <f t="shared" si="29"/>
        <v>0</v>
      </c>
      <c r="D697" s="30">
        <f>IF('11. Water - Capex Input'!$I123=D$3,'11. Water - Capex Input'!$J123,0)</f>
        <v>-3148.9900000000007</v>
      </c>
      <c r="E697" s="30">
        <f>IF('11. Water - Capex Input'!$I123=E$3,'11. Water - Capex Input'!$J123,0)</f>
        <v>0</v>
      </c>
      <c r="F697" s="30">
        <f>IF('11. Water - Capex Input'!$I123=F$3,'11. Water - Capex Input'!$J123,0)</f>
        <v>0</v>
      </c>
      <c r="G697" s="30">
        <f>IF('11. Water - Capex Input'!$I123=G$3,'11. Water - Capex Input'!$J123,0)</f>
        <v>0</v>
      </c>
      <c r="H697" s="30">
        <f>IF('11. Water - Capex Input'!$I123=H$3,'11. Water - Capex Input'!$J123,0)</f>
        <v>0</v>
      </c>
    </row>
    <row r="698" spans="2:8">
      <c r="B698" s="152">
        <f t="shared" si="29"/>
        <v>0</v>
      </c>
      <c r="D698" s="30">
        <f>IF('11. Water - Capex Input'!$I124=D$3,'11. Water - Capex Input'!$J124,0)</f>
        <v>260153.26</v>
      </c>
      <c r="E698" s="30">
        <f>IF('11. Water - Capex Input'!$I124=E$3,'11. Water - Capex Input'!$J124,0)</f>
        <v>0</v>
      </c>
      <c r="F698" s="30">
        <f>IF('11. Water - Capex Input'!$I124=F$3,'11. Water - Capex Input'!$J124,0)</f>
        <v>0</v>
      </c>
      <c r="G698" s="30">
        <f>IF('11. Water - Capex Input'!$I124=G$3,'11. Water - Capex Input'!$J124,0)</f>
        <v>0</v>
      </c>
      <c r="H698" s="30">
        <f>IF('11. Water - Capex Input'!$I124=H$3,'11. Water - Capex Input'!$J124,0)</f>
        <v>0</v>
      </c>
    </row>
    <row r="699" spans="2:8">
      <c r="B699" s="152">
        <f t="shared" si="29"/>
        <v>0</v>
      </c>
      <c r="D699" s="30">
        <f>IF('11. Water - Capex Input'!$I125=D$3,'11. Water - Capex Input'!$J125,0)</f>
        <v>9476.73</v>
      </c>
      <c r="E699" s="30">
        <f>IF('11. Water - Capex Input'!$I125=E$3,'11. Water - Capex Input'!$J125,0)</f>
        <v>0</v>
      </c>
      <c r="F699" s="30">
        <f>IF('11. Water - Capex Input'!$I125=F$3,'11. Water - Capex Input'!$J125,0)</f>
        <v>0</v>
      </c>
      <c r="G699" s="30">
        <f>IF('11. Water - Capex Input'!$I125=G$3,'11. Water - Capex Input'!$J125,0)</f>
        <v>0</v>
      </c>
      <c r="H699" s="30">
        <f>IF('11. Water - Capex Input'!$I125=H$3,'11. Water - Capex Input'!$J125,0)</f>
        <v>0</v>
      </c>
    </row>
    <row r="700" spans="2:8">
      <c r="B700" s="152">
        <f t="shared" si="29"/>
        <v>0</v>
      </c>
      <c r="D700" s="30">
        <f>IF('11. Water - Capex Input'!$I126=D$3,'11. Water - Capex Input'!$J126,0)</f>
        <v>50836.240000000005</v>
      </c>
      <c r="E700" s="30">
        <f>IF('11. Water - Capex Input'!$I126=E$3,'11. Water - Capex Input'!$J126,0)</f>
        <v>0</v>
      </c>
      <c r="F700" s="30">
        <f>IF('11. Water - Capex Input'!$I126=F$3,'11. Water - Capex Input'!$J126,0)</f>
        <v>0</v>
      </c>
      <c r="G700" s="30">
        <f>IF('11. Water - Capex Input'!$I126=G$3,'11. Water - Capex Input'!$J126,0)</f>
        <v>0</v>
      </c>
      <c r="H700" s="30">
        <f>IF('11. Water - Capex Input'!$I126=H$3,'11. Water - Capex Input'!$J126,0)</f>
        <v>0</v>
      </c>
    </row>
    <row r="701" spans="2:8">
      <c r="B701" s="152">
        <f t="shared" si="29"/>
        <v>0</v>
      </c>
      <c r="D701" s="30">
        <f>IF('11. Water - Capex Input'!$I127=D$3,'11. Water - Capex Input'!$J127,0)</f>
        <v>-50136.51</v>
      </c>
      <c r="E701" s="30">
        <f>IF('11. Water - Capex Input'!$I127=E$3,'11. Water - Capex Input'!$J127,0)</f>
        <v>0</v>
      </c>
      <c r="F701" s="30">
        <f>IF('11. Water - Capex Input'!$I127=F$3,'11. Water - Capex Input'!$J127,0)</f>
        <v>0</v>
      </c>
      <c r="G701" s="30">
        <f>IF('11. Water - Capex Input'!$I127=G$3,'11. Water - Capex Input'!$J127,0)</f>
        <v>0</v>
      </c>
      <c r="H701" s="30">
        <f>IF('11. Water - Capex Input'!$I127=H$3,'11. Water - Capex Input'!$J127,0)</f>
        <v>0</v>
      </c>
    </row>
    <row r="702" spans="2:8">
      <c r="B702" s="152">
        <f t="shared" si="29"/>
        <v>0</v>
      </c>
      <c r="D702" s="30">
        <f>IF('11. Water - Capex Input'!$I128=D$3,'11. Water - Capex Input'!$J128,0)</f>
        <v>0</v>
      </c>
      <c r="E702" s="30">
        <f>IF('11. Water - Capex Input'!$I128=E$3,'11. Water - Capex Input'!$J128,0)</f>
        <v>409479</v>
      </c>
      <c r="F702" s="30">
        <f>IF('11. Water - Capex Input'!$I128=F$3,'11. Water - Capex Input'!$J128,0)</f>
        <v>0</v>
      </c>
      <c r="G702" s="30">
        <f>IF('11. Water - Capex Input'!$I128=G$3,'11. Water - Capex Input'!$J128,0)</f>
        <v>0</v>
      </c>
      <c r="H702" s="30">
        <f>IF('11. Water - Capex Input'!$I128=H$3,'11. Water - Capex Input'!$J128,0)</f>
        <v>0</v>
      </c>
    </row>
    <row r="703" spans="2:8">
      <c r="B703" s="152">
        <f t="shared" si="29"/>
        <v>0</v>
      </c>
      <c r="D703" s="30">
        <f>IF('11. Water - Capex Input'!$I129=D$3,'11. Water - Capex Input'!$J129,0)</f>
        <v>3174.2599999999998</v>
      </c>
      <c r="E703" s="30">
        <f>IF('11. Water - Capex Input'!$I129=E$3,'11. Water - Capex Input'!$J129,0)</f>
        <v>0</v>
      </c>
      <c r="F703" s="30">
        <f>IF('11. Water - Capex Input'!$I129=F$3,'11. Water - Capex Input'!$J129,0)</f>
        <v>0</v>
      </c>
      <c r="G703" s="30">
        <f>IF('11. Water - Capex Input'!$I129=G$3,'11. Water - Capex Input'!$J129,0)</f>
        <v>0</v>
      </c>
      <c r="H703" s="30">
        <f>IF('11. Water - Capex Input'!$I129=H$3,'11. Water - Capex Input'!$J129,0)</f>
        <v>0</v>
      </c>
    </row>
    <row r="704" spans="2:8">
      <c r="B704" s="152">
        <f t="shared" si="29"/>
        <v>0</v>
      </c>
      <c r="D704" s="30">
        <f>IF('11. Water - Capex Input'!$I130=D$3,'11. Water - Capex Input'!$J130,0)</f>
        <v>160197.28</v>
      </c>
      <c r="E704" s="30">
        <f>IF('11. Water - Capex Input'!$I130=E$3,'11. Water - Capex Input'!$J130,0)</f>
        <v>0</v>
      </c>
      <c r="F704" s="30">
        <f>IF('11. Water - Capex Input'!$I130=F$3,'11. Water - Capex Input'!$J130,0)</f>
        <v>0</v>
      </c>
      <c r="G704" s="30">
        <f>IF('11. Water - Capex Input'!$I130=G$3,'11. Water - Capex Input'!$J130,0)</f>
        <v>0</v>
      </c>
      <c r="H704" s="30">
        <f>IF('11. Water - Capex Input'!$I130=H$3,'11. Water - Capex Input'!$J130,0)</f>
        <v>0</v>
      </c>
    </row>
    <row r="705" spans="2:8">
      <c r="B705" s="152">
        <f t="shared" si="29"/>
        <v>0</v>
      </c>
      <c r="D705" s="30">
        <f>IF('11. Water - Capex Input'!$I131=D$3,'11. Water - Capex Input'!$J131,0)</f>
        <v>0</v>
      </c>
      <c r="E705" s="30">
        <f>IF('11. Water - Capex Input'!$I131=E$3,'11. Water - Capex Input'!$J131,0)</f>
        <v>66823.899999999994</v>
      </c>
      <c r="F705" s="30">
        <f>IF('11. Water - Capex Input'!$I131=F$3,'11. Water - Capex Input'!$J131,0)</f>
        <v>0</v>
      </c>
      <c r="G705" s="30">
        <f>IF('11. Water - Capex Input'!$I131=G$3,'11. Water - Capex Input'!$J131,0)</f>
        <v>0</v>
      </c>
      <c r="H705" s="30">
        <f>IF('11. Water - Capex Input'!$I131=H$3,'11. Water - Capex Input'!$J131,0)</f>
        <v>0</v>
      </c>
    </row>
    <row r="706" spans="2:8">
      <c r="B706" s="152">
        <f t="shared" si="29"/>
        <v>0</v>
      </c>
      <c r="D706" s="30">
        <f>IF('11. Water - Capex Input'!$I132=D$3,'11. Water - Capex Input'!$J132,0)</f>
        <v>261960.7</v>
      </c>
      <c r="E706" s="30">
        <f>IF('11. Water - Capex Input'!$I132=E$3,'11. Water - Capex Input'!$J132,0)</f>
        <v>0</v>
      </c>
      <c r="F706" s="30">
        <f>IF('11. Water - Capex Input'!$I132=F$3,'11. Water - Capex Input'!$J132,0)</f>
        <v>0</v>
      </c>
      <c r="G706" s="30">
        <f>IF('11. Water - Capex Input'!$I132=G$3,'11. Water - Capex Input'!$J132,0)</f>
        <v>0</v>
      </c>
      <c r="H706" s="30">
        <f>IF('11. Water - Capex Input'!$I132=H$3,'11. Water - Capex Input'!$J132,0)</f>
        <v>0</v>
      </c>
    </row>
    <row r="707" spans="2:8">
      <c r="B707" s="152">
        <f t="shared" si="29"/>
        <v>0</v>
      </c>
      <c r="D707" s="30">
        <f>IF('11. Water - Capex Input'!$I133=D$3,'11. Water - Capex Input'!$J133,0)</f>
        <v>0</v>
      </c>
      <c r="E707" s="30">
        <f>IF('11. Water - Capex Input'!$I133=E$3,'11. Water - Capex Input'!$J133,0)</f>
        <v>-13278.110000000011</v>
      </c>
      <c r="F707" s="30">
        <f>IF('11. Water - Capex Input'!$I133=F$3,'11. Water - Capex Input'!$J133,0)</f>
        <v>0</v>
      </c>
      <c r="G707" s="30">
        <f>IF('11. Water - Capex Input'!$I133=G$3,'11. Water - Capex Input'!$J133,0)</f>
        <v>0</v>
      </c>
      <c r="H707" s="30">
        <f>IF('11. Water - Capex Input'!$I133=H$3,'11. Water - Capex Input'!$J133,0)</f>
        <v>0</v>
      </c>
    </row>
    <row r="708" spans="2:8">
      <c r="B708" s="152">
        <f t="shared" ref="B708:B761" si="30">B522</f>
        <v>0</v>
      </c>
      <c r="D708" s="30">
        <f>IF('11. Water - Capex Input'!$I134=D$3,'11. Water - Capex Input'!$J134,0)</f>
        <v>-531.6</v>
      </c>
      <c r="E708" s="30">
        <f>IF('11. Water - Capex Input'!$I134=E$3,'11. Water - Capex Input'!$J134,0)</f>
        <v>0</v>
      </c>
      <c r="F708" s="30">
        <f>IF('11. Water - Capex Input'!$I134=F$3,'11. Water - Capex Input'!$J134,0)</f>
        <v>0</v>
      </c>
      <c r="G708" s="30">
        <f>IF('11. Water - Capex Input'!$I134=G$3,'11. Water - Capex Input'!$J134,0)</f>
        <v>0</v>
      </c>
      <c r="H708" s="30">
        <f>IF('11. Water - Capex Input'!$I134=H$3,'11. Water - Capex Input'!$J134,0)</f>
        <v>0</v>
      </c>
    </row>
    <row r="709" spans="2:8">
      <c r="B709" s="152">
        <f t="shared" si="30"/>
        <v>0</v>
      </c>
      <c r="D709" s="30">
        <f>IF('11. Water - Capex Input'!$I135=D$3,'11. Water - Capex Input'!$J135,0)</f>
        <v>19445.509999999998</v>
      </c>
      <c r="E709" s="30">
        <f>IF('11. Water - Capex Input'!$I135=E$3,'11. Water - Capex Input'!$J135,0)</f>
        <v>0</v>
      </c>
      <c r="F709" s="30">
        <f>IF('11. Water - Capex Input'!$I135=F$3,'11. Water - Capex Input'!$J135,0)</f>
        <v>0</v>
      </c>
      <c r="G709" s="30">
        <f>IF('11. Water - Capex Input'!$I135=G$3,'11. Water - Capex Input'!$J135,0)</f>
        <v>0</v>
      </c>
      <c r="H709" s="30">
        <f>IF('11. Water - Capex Input'!$I135=H$3,'11. Water - Capex Input'!$J135,0)</f>
        <v>0</v>
      </c>
    </row>
    <row r="710" spans="2:8">
      <c r="B710" s="152">
        <f t="shared" si="30"/>
        <v>0</v>
      </c>
      <c r="D710" s="30">
        <f>IF('11. Water - Capex Input'!$I136=D$3,'11. Water - Capex Input'!$J136,0)</f>
        <v>3849</v>
      </c>
      <c r="E710" s="30">
        <f>IF('11. Water - Capex Input'!$I136=E$3,'11. Water - Capex Input'!$J136,0)</f>
        <v>0</v>
      </c>
      <c r="F710" s="30">
        <f>IF('11. Water - Capex Input'!$I136=F$3,'11. Water - Capex Input'!$J136,0)</f>
        <v>0</v>
      </c>
      <c r="G710" s="30">
        <f>IF('11. Water - Capex Input'!$I136=G$3,'11. Water - Capex Input'!$J136,0)</f>
        <v>0</v>
      </c>
      <c r="H710" s="30">
        <f>IF('11. Water - Capex Input'!$I136=H$3,'11. Water - Capex Input'!$J136,0)</f>
        <v>0</v>
      </c>
    </row>
    <row r="711" spans="2:8">
      <c r="B711" s="152">
        <f t="shared" si="30"/>
        <v>0</v>
      </c>
      <c r="D711" s="30">
        <f>IF('11. Water - Capex Input'!$I137=D$3,'11. Water - Capex Input'!$J137,0)</f>
        <v>0</v>
      </c>
      <c r="E711" s="30">
        <f>IF('11. Water - Capex Input'!$I137=E$3,'11. Water - Capex Input'!$J137,0)</f>
        <v>1120.33</v>
      </c>
      <c r="F711" s="30">
        <f>IF('11. Water - Capex Input'!$I137=F$3,'11. Water - Capex Input'!$J137,0)</f>
        <v>0</v>
      </c>
      <c r="G711" s="30">
        <f>IF('11. Water - Capex Input'!$I137=G$3,'11. Water - Capex Input'!$J137,0)</f>
        <v>0</v>
      </c>
      <c r="H711" s="30">
        <f>IF('11. Water - Capex Input'!$I137=H$3,'11. Water - Capex Input'!$J137,0)</f>
        <v>0</v>
      </c>
    </row>
    <row r="712" spans="2:8">
      <c r="B712" s="152">
        <f t="shared" si="30"/>
        <v>0</v>
      </c>
      <c r="D712" s="30">
        <f>IF('11. Water - Capex Input'!$I138=D$3,'11. Water - Capex Input'!$J138,0)</f>
        <v>0</v>
      </c>
      <c r="E712" s="30">
        <f>IF('11. Water - Capex Input'!$I138=E$3,'11. Water - Capex Input'!$J138,0)</f>
        <v>0</v>
      </c>
      <c r="F712" s="30">
        <f>IF('11. Water - Capex Input'!$I138=F$3,'11. Water - Capex Input'!$J138,0)</f>
        <v>5000</v>
      </c>
      <c r="G712" s="30">
        <f>IF('11. Water - Capex Input'!$I138=G$3,'11. Water - Capex Input'!$J138,0)</f>
        <v>0</v>
      </c>
      <c r="H712" s="30">
        <f>IF('11. Water - Capex Input'!$I138=H$3,'11. Water - Capex Input'!$J138,0)</f>
        <v>0</v>
      </c>
    </row>
    <row r="713" spans="2:8">
      <c r="B713" s="152">
        <f t="shared" si="30"/>
        <v>0</v>
      </c>
      <c r="D713" s="30">
        <f>IF('11. Water - Capex Input'!$I139=D$3,'11. Water - Capex Input'!$J139,0)</f>
        <v>0</v>
      </c>
      <c r="E713" s="30">
        <f>IF('11. Water - Capex Input'!$I139=E$3,'11. Water - Capex Input'!$J139,0)</f>
        <v>0</v>
      </c>
      <c r="F713" s="30">
        <f>IF('11. Water - Capex Input'!$I139=F$3,'11. Water - Capex Input'!$J139,0)</f>
        <v>0</v>
      </c>
      <c r="G713" s="30">
        <f>IF('11. Water - Capex Input'!$I139=G$3,'11. Water - Capex Input'!$J139,0)</f>
        <v>5000</v>
      </c>
      <c r="H713" s="30">
        <f>IF('11. Water - Capex Input'!$I139=H$3,'11. Water - Capex Input'!$J139,0)</f>
        <v>0</v>
      </c>
    </row>
    <row r="714" spans="2:8">
      <c r="B714" s="152">
        <f t="shared" si="30"/>
        <v>0</v>
      </c>
      <c r="D714" s="30">
        <f>IF('11. Water - Capex Input'!$I140=D$3,'11. Water - Capex Input'!$J140,0)</f>
        <v>0</v>
      </c>
      <c r="E714" s="30">
        <f>IF('11. Water - Capex Input'!$I140=E$3,'11. Water - Capex Input'!$J140,0)</f>
        <v>0</v>
      </c>
      <c r="F714" s="30">
        <f>IF('11. Water - Capex Input'!$I140=F$3,'11. Water - Capex Input'!$J140,0)</f>
        <v>0</v>
      </c>
      <c r="G714" s="30">
        <f>IF('11. Water - Capex Input'!$I140=G$3,'11. Water - Capex Input'!$J140,0)</f>
        <v>0</v>
      </c>
      <c r="H714" s="30">
        <f>IF('11. Water - Capex Input'!$I140=H$3,'11. Water - Capex Input'!$J140,0)</f>
        <v>5000</v>
      </c>
    </row>
    <row r="715" spans="2:8">
      <c r="B715" s="152">
        <f t="shared" si="30"/>
        <v>0</v>
      </c>
      <c r="D715" s="30">
        <f>IF('11. Water - Capex Input'!$I141=D$3,'11. Water - Capex Input'!$J141,0)</f>
        <v>321949.7</v>
      </c>
      <c r="E715" s="30">
        <f>IF('11. Water - Capex Input'!$I141=E$3,'11. Water - Capex Input'!$J141,0)</f>
        <v>0</v>
      </c>
      <c r="F715" s="30">
        <f>IF('11. Water - Capex Input'!$I141=F$3,'11. Water - Capex Input'!$J141,0)</f>
        <v>0</v>
      </c>
      <c r="G715" s="30">
        <f>IF('11. Water - Capex Input'!$I141=G$3,'11. Water - Capex Input'!$J141,0)</f>
        <v>0</v>
      </c>
      <c r="H715" s="30">
        <f>IF('11. Water - Capex Input'!$I141=H$3,'11. Water - Capex Input'!$J141,0)</f>
        <v>0</v>
      </c>
    </row>
    <row r="716" spans="2:8">
      <c r="B716" s="152">
        <f t="shared" si="30"/>
        <v>0</v>
      </c>
      <c r="D716" s="30">
        <f>IF('11. Water - Capex Input'!$I142=D$3,'11. Water - Capex Input'!$J142,0)</f>
        <v>0</v>
      </c>
      <c r="E716" s="30">
        <f>IF('11. Water - Capex Input'!$I142=E$3,'11. Water - Capex Input'!$J142,0)</f>
        <v>10404.450000000001</v>
      </c>
      <c r="F716" s="30">
        <f>IF('11. Water - Capex Input'!$I142=F$3,'11. Water - Capex Input'!$J142,0)</f>
        <v>0</v>
      </c>
      <c r="G716" s="30">
        <f>IF('11. Water - Capex Input'!$I142=G$3,'11. Water - Capex Input'!$J142,0)</f>
        <v>0</v>
      </c>
      <c r="H716" s="30">
        <f>IF('11. Water - Capex Input'!$I142=H$3,'11. Water - Capex Input'!$J142,0)</f>
        <v>0</v>
      </c>
    </row>
    <row r="717" spans="2:8">
      <c r="B717" s="152">
        <f t="shared" si="30"/>
        <v>0</v>
      </c>
      <c r="D717" s="30">
        <f>IF('11. Water - Capex Input'!$I143=D$3,'11. Water - Capex Input'!$J143,0)</f>
        <v>72851.210000000006</v>
      </c>
      <c r="E717" s="30">
        <f>IF('11. Water - Capex Input'!$I143=E$3,'11. Water - Capex Input'!$J143,0)</f>
        <v>0</v>
      </c>
      <c r="F717" s="30">
        <f>IF('11. Water - Capex Input'!$I143=F$3,'11. Water - Capex Input'!$J143,0)</f>
        <v>0</v>
      </c>
      <c r="G717" s="30">
        <f>IF('11. Water - Capex Input'!$I143=G$3,'11. Water - Capex Input'!$J143,0)</f>
        <v>0</v>
      </c>
      <c r="H717" s="30">
        <f>IF('11. Water - Capex Input'!$I143=H$3,'11. Water - Capex Input'!$J143,0)</f>
        <v>0</v>
      </c>
    </row>
    <row r="718" spans="2:8">
      <c r="B718" s="152">
        <f t="shared" si="30"/>
        <v>0</v>
      </c>
      <c r="D718" s="30">
        <f>IF('11. Water - Capex Input'!$I144=D$3,'11. Water - Capex Input'!$J144,0)</f>
        <v>0</v>
      </c>
      <c r="E718" s="30">
        <f>IF('11. Water - Capex Input'!$I144=E$3,'11. Water - Capex Input'!$J144,0)</f>
        <v>123750</v>
      </c>
      <c r="F718" s="30">
        <f>IF('11. Water - Capex Input'!$I144=F$3,'11. Water - Capex Input'!$J144,0)</f>
        <v>0</v>
      </c>
      <c r="G718" s="30">
        <f>IF('11. Water - Capex Input'!$I144=G$3,'11. Water - Capex Input'!$J144,0)</f>
        <v>0</v>
      </c>
      <c r="H718" s="30">
        <f>IF('11. Water - Capex Input'!$I144=H$3,'11. Water - Capex Input'!$J144,0)</f>
        <v>0</v>
      </c>
    </row>
    <row r="719" spans="2:8">
      <c r="B719" s="152">
        <f t="shared" si="30"/>
        <v>0</v>
      </c>
      <c r="D719" s="30">
        <f>IF('11. Water - Capex Input'!$I145=D$3,'11. Water - Capex Input'!$J145,0)</f>
        <v>41937.520000000004</v>
      </c>
      <c r="E719" s="30">
        <f>IF('11. Water - Capex Input'!$I145=E$3,'11. Water - Capex Input'!$J145,0)</f>
        <v>0</v>
      </c>
      <c r="F719" s="30">
        <f>IF('11. Water - Capex Input'!$I145=F$3,'11. Water - Capex Input'!$J145,0)</f>
        <v>0</v>
      </c>
      <c r="G719" s="30">
        <f>IF('11. Water - Capex Input'!$I145=G$3,'11. Water - Capex Input'!$J145,0)</f>
        <v>0</v>
      </c>
      <c r="H719" s="30">
        <f>IF('11. Water - Capex Input'!$I145=H$3,'11. Water - Capex Input'!$J145,0)</f>
        <v>0</v>
      </c>
    </row>
    <row r="720" spans="2:8">
      <c r="B720" s="152">
        <f t="shared" si="30"/>
        <v>0</v>
      </c>
      <c r="D720" s="30">
        <f>IF('11. Water - Capex Input'!$I146=D$3,'11. Water - Capex Input'!$J146,0)</f>
        <v>0</v>
      </c>
      <c r="E720" s="30">
        <f>IF('11. Water - Capex Input'!$I146=E$3,'11. Water - Capex Input'!$J146,0)</f>
        <v>270000</v>
      </c>
      <c r="F720" s="30">
        <f>IF('11. Water - Capex Input'!$I146=F$3,'11. Water - Capex Input'!$J146,0)</f>
        <v>0</v>
      </c>
      <c r="G720" s="30">
        <f>IF('11. Water - Capex Input'!$I146=G$3,'11. Water - Capex Input'!$J146,0)</f>
        <v>0</v>
      </c>
      <c r="H720" s="30">
        <f>IF('11. Water - Capex Input'!$I146=H$3,'11. Water - Capex Input'!$J146,0)</f>
        <v>0</v>
      </c>
    </row>
    <row r="721" spans="2:8">
      <c r="B721" s="152">
        <f t="shared" si="30"/>
        <v>0</v>
      </c>
      <c r="D721" s="30">
        <f>IF('11. Water - Capex Input'!$I147=D$3,'11. Water - Capex Input'!$J147,0)</f>
        <v>0</v>
      </c>
      <c r="E721" s="30">
        <f>IF('11. Water - Capex Input'!$I147=E$3,'11. Water - Capex Input'!$J147,0)</f>
        <v>84999</v>
      </c>
      <c r="F721" s="30">
        <f>IF('11. Water - Capex Input'!$I147=F$3,'11. Water - Capex Input'!$J147,0)</f>
        <v>0</v>
      </c>
      <c r="G721" s="30">
        <f>IF('11. Water - Capex Input'!$I147=G$3,'11. Water - Capex Input'!$J147,0)</f>
        <v>0</v>
      </c>
      <c r="H721" s="30">
        <f>IF('11. Water - Capex Input'!$I147=H$3,'11. Water - Capex Input'!$J147,0)</f>
        <v>0</v>
      </c>
    </row>
    <row r="722" spans="2:8">
      <c r="B722" s="152">
        <f t="shared" si="30"/>
        <v>0</v>
      </c>
      <c r="D722" s="30">
        <f>IF('11. Water - Capex Input'!$I148=D$3,'11. Water - Capex Input'!$J148,0)</f>
        <v>102718.1</v>
      </c>
      <c r="E722" s="30">
        <f>IF('11. Water - Capex Input'!$I148=E$3,'11. Water - Capex Input'!$J148,0)</f>
        <v>0</v>
      </c>
      <c r="F722" s="30">
        <f>IF('11. Water - Capex Input'!$I148=F$3,'11. Water - Capex Input'!$J148,0)</f>
        <v>0</v>
      </c>
      <c r="G722" s="30">
        <f>IF('11. Water - Capex Input'!$I148=G$3,'11. Water - Capex Input'!$J148,0)</f>
        <v>0</v>
      </c>
      <c r="H722" s="30">
        <f>IF('11. Water - Capex Input'!$I148=H$3,'11. Water - Capex Input'!$J148,0)</f>
        <v>0</v>
      </c>
    </row>
    <row r="723" spans="2:8">
      <c r="B723" s="152">
        <f t="shared" si="30"/>
        <v>0</v>
      </c>
      <c r="D723" s="30">
        <f>IF('11. Water - Capex Input'!$I149=D$3,'11. Water - Capex Input'!$J149,0)</f>
        <v>0</v>
      </c>
      <c r="E723" s="30">
        <f>IF('11. Water - Capex Input'!$I149=E$3,'11. Water - Capex Input'!$J149,0)</f>
        <v>3455.14</v>
      </c>
      <c r="F723" s="30">
        <f>IF('11. Water - Capex Input'!$I149=F$3,'11. Water - Capex Input'!$J149,0)</f>
        <v>0</v>
      </c>
      <c r="G723" s="30">
        <f>IF('11. Water - Capex Input'!$I149=G$3,'11. Water - Capex Input'!$J149,0)</f>
        <v>0</v>
      </c>
      <c r="H723" s="30">
        <f>IF('11. Water - Capex Input'!$I149=H$3,'11. Water - Capex Input'!$J149,0)</f>
        <v>0</v>
      </c>
    </row>
    <row r="724" spans="2:8">
      <c r="B724" s="152">
        <f t="shared" si="30"/>
        <v>0</v>
      </c>
      <c r="D724" s="30">
        <f>IF('11. Water - Capex Input'!$I150=D$3,'11. Water - Capex Input'!$J150,0)</f>
        <v>158062.97999999998</v>
      </c>
      <c r="E724" s="30">
        <f>IF('11. Water - Capex Input'!$I150=E$3,'11. Water - Capex Input'!$J150,0)</f>
        <v>0</v>
      </c>
      <c r="F724" s="30">
        <f>IF('11. Water - Capex Input'!$I150=F$3,'11. Water - Capex Input'!$J150,0)</f>
        <v>0</v>
      </c>
      <c r="G724" s="30">
        <f>IF('11. Water - Capex Input'!$I150=G$3,'11. Water - Capex Input'!$J150,0)</f>
        <v>0</v>
      </c>
      <c r="H724" s="30">
        <f>IF('11. Water - Capex Input'!$I150=H$3,'11. Water - Capex Input'!$J150,0)</f>
        <v>0</v>
      </c>
    </row>
    <row r="725" spans="2:8">
      <c r="B725" s="152">
        <f t="shared" si="30"/>
        <v>0</v>
      </c>
      <c r="D725" s="30">
        <f>IF('11. Water - Capex Input'!$I151=D$3,'11. Water - Capex Input'!$J151,0)</f>
        <v>0</v>
      </c>
      <c r="E725" s="30">
        <f>IF('11. Water - Capex Input'!$I151=E$3,'11. Water - Capex Input'!$J151,0)</f>
        <v>79058.559999999998</v>
      </c>
      <c r="F725" s="30">
        <f>IF('11. Water - Capex Input'!$I151=F$3,'11. Water - Capex Input'!$J151,0)</f>
        <v>0</v>
      </c>
      <c r="G725" s="30">
        <f>IF('11. Water - Capex Input'!$I151=G$3,'11. Water - Capex Input'!$J151,0)</f>
        <v>0</v>
      </c>
      <c r="H725" s="30">
        <f>IF('11. Water - Capex Input'!$I151=H$3,'11. Water - Capex Input'!$J151,0)</f>
        <v>0</v>
      </c>
    </row>
    <row r="726" spans="2:8">
      <c r="B726" s="152">
        <f t="shared" si="30"/>
        <v>0</v>
      </c>
      <c r="D726" s="30">
        <f>IF('11. Water - Capex Input'!$I152=D$3,'11. Water - Capex Input'!$J152,0)</f>
        <v>218415.54</v>
      </c>
      <c r="E726" s="30">
        <f>IF('11. Water - Capex Input'!$I152=E$3,'11. Water - Capex Input'!$J152,0)</f>
        <v>0</v>
      </c>
      <c r="F726" s="30">
        <f>IF('11. Water - Capex Input'!$I152=F$3,'11. Water - Capex Input'!$J152,0)</f>
        <v>0</v>
      </c>
      <c r="G726" s="30">
        <f>IF('11. Water - Capex Input'!$I152=G$3,'11. Water - Capex Input'!$J152,0)</f>
        <v>0</v>
      </c>
      <c r="H726" s="30">
        <f>IF('11. Water - Capex Input'!$I152=H$3,'11. Water - Capex Input'!$J152,0)</f>
        <v>0</v>
      </c>
    </row>
    <row r="727" spans="2:8">
      <c r="B727" s="152">
        <f t="shared" si="30"/>
        <v>0</v>
      </c>
      <c r="D727" s="30">
        <f>IF('11. Water - Capex Input'!$I153=D$3,'11. Water - Capex Input'!$J153,0)</f>
        <v>0</v>
      </c>
      <c r="E727" s="30">
        <f>IF('11. Water - Capex Input'!$I153=E$3,'11. Water - Capex Input'!$J153,0)</f>
        <v>136000</v>
      </c>
      <c r="F727" s="30">
        <f>IF('11. Water - Capex Input'!$I153=F$3,'11. Water - Capex Input'!$J153,0)</f>
        <v>0</v>
      </c>
      <c r="G727" s="30">
        <f>IF('11. Water - Capex Input'!$I153=G$3,'11. Water - Capex Input'!$J153,0)</f>
        <v>0</v>
      </c>
      <c r="H727" s="30">
        <f>IF('11. Water - Capex Input'!$I153=H$3,'11. Water - Capex Input'!$J153,0)</f>
        <v>0</v>
      </c>
    </row>
    <row r="728" spans="2:8">
      <c r="B728" s="152">
        <f t="shared" si="30"/>
        <v>0</v>
      </c>
      <c r="D728" s="30">
        <f>IF('11. Water - Capex Input'!$I154=D$3,'11. Water - Capex Input'!$J154,0)</f>
        <v>0</v>
      </c>
      <c r="E728" s="30">
        <f>IF('11. Water - Capex Input'!$I154=E$3,'11. Water - Capex Input'!$J154,0)</f>
        <v>235000</v>
      </c>
      <c r="F728" s="30">
        <f>IF('11. Water - Capex Input'!$I154=F$3,'11. Water - Capex Input'!$J154,0)</f>
        <v>0</v>
      </c>
      <c r="G728" s="30">
        <f>IF('11. Water - Capex Input'!$I154=G$3,'11. Water - Capex Input'!$J154,0)</f>
        <v>0</v>
      </c>
      <c r="H728" s="30">
        <f>IF('11. Water - Capex Input'!$I154=H$3,'11. Water - Capex Input'!$J154,0)</f>
        <v>0</v>
      </c>
    </row>
    <row r="729" spans="2:8">
      <c r="B729" s="152">
        <f t="shared" si="30"/>
        <v>0</v>
      </c>
      <c r="D729" s="30">
        <f>IF('11. Water - Capex Input'!$I155=D$3,'11. Water - Capex Input'!$J155,0)</f>
        <v>72038.509999999995</v>
      </c>
      <c r="E729" s="30">
        <f>IF('11. Water - Capex Input'!$I155=E$3,'11. Water - Capex Input'!$J155,0)</f>
        <v>0</v>
      </c>
      <c r="F729" s="30">
        <f>IF('11. Water - Capex Input'!$I155=F$3,'11. Water - Capex Input'!$J155,0)</f>
        <v>0</v>
      </c>
      <c r="G729" s="30">
        <f>IF('11. Water - Capex Input'!$I155=G$3,'11. Water - Capex Input'!$J155,0)</f>
        <v>0</v>
      </c>
      <c r="H729" s="30">
        <f>IF('11. Water - Capex Input'!$I155=H$3,'11. Water - Capex Input'!$J155,0)</f>
        <v>0</v>
      </c>
    </row>
    <row r="730" spans="2:8">
      <c r="B730" s="152">
        <f t="shared" si="30"/>
        <v>0</v>
      </c>
      <c r="D730" s="30">
        <f>IF('11. Water - Capex Input'!$I156=D$3,'11. Water - Capex Input'!$J156,0)</f>
        <v>0</v>
      </c>
      <c r="E730" s="30">
        <f>IF('11. Water - Capex Input'!$I156=E$3,'11. Water - Capex Input'!$J156,0)</f>
        <v>110224.29</v>
      </c>
      <c r="F730" s="30">
        <f>IF('11. Water - Capex Input'!$I156=F$3,'11. Water - Capex Input'!$J156,0)</f>
        <v>0</v>
      </c>
      <c r="G730" s="30">
        <f>IF('11. Water - Capex Input'!$I156=G$3,'11. Water - Capex Input'!$J156,0)</f>
        <v>0</v>
      </c>
      <c r="H730" s="30">
        <f>IF('11. Water - Capex Input'!$I156=H$3,'11. Water - Capex Input'!$J156,0)</f>
        <v>0</v>
      </c>
    </row>
    <row r="731" spans="2:8">
      <c r="B731" s="152">
        <f t="shared" si="30"/>
        <v>0</v>
      </c>
      <c r="D731" s="30">
        <f>IF('11. Water - Capex Input'!$I157=D$3,'11. Water - Capex Input'!$J157,0)</f>
        <v>0</v>
      </c>
      <c r="E731" s="30">
        <f>IF('11. Water - Capex Input'!$I157=E$3,'11. Water - Capex Input'!$J157,0)</f>
        <v>500000</v>
      </c>
      <c r="F731" s="30">
        <f>IF('11. Water - Capex Input'!$I157=F$3,'11. Water - Capex Input'!$J157,0)</f>
        <v>0</v>
      </c>
      <c r="G731" s="30">
        <f>IF('11. Water - Capex Input'!$I157=G$3,'11. Water - Capex Input'!$J157,0)</f>
        <v>0</v>
      </c>
      <c r="H731" s="30">
        <f>IF('11. Water - Capex Input'!$I157=H$3,'11. Water - Capex Input'!$J157,0)</f>
        <v>0</v>
      </c>
    </row>
    <row r="732" spans="2:8">
      <c r="B732" s="152">
        <f t="shared" si="30"/>
        <v>0</v>
      </c>
      <c r="D732" s="30">
        <f>IF('11. Water - Capex Input'!$I158=D$3,'11. Water - Capex Input'!$J158,0)</f>
        <v>545128.82000000007</v>
      </c>
      <c r="E732" s="30">
        <f>IF('11. Water - Capex Input'!$I158=E$3,'11. Water - Capex Input'!$J158,0)</f>
        <v>0</v>
      </c>
      <c r="F732" s="30">
        <f>IF('11. Water - Capex Input'!$I158=F$3,'11. Water - Capex Input'!$J158,0)</f>
        <v>0</v>
      </c>
      <c r="G732" s="30">
        <f>IF('11. Water - Capex Input'!$I158=G$3,'11. Water - Capex Input'!$J158,0)</f>
        <v>0</v>
      </c>
      <c r="H732" s="30">
        <f>IF('11. Water - Capex Input'!$I158=H$3,'11. Water - Capex Input'!$J158,0)</f>
        <v>0</v>
      </c>
    </row>
    <row r="733" spans="2:8">
      <c r="B733" s="152">
        <f t="shared" si="30"/>
        <v>0</v>
      </c>
      <c r="D733" s="30">
        <f>IF('11. Water - Capex Input'!$I159=D$3,'11. Water - Capex Input'!$J159,0)</f>
        <v>0</v>
      </c>
      <c r="E733" s="30">
        <f>IF('11. Water - Capex Input'!$I159=E$3,'11. Water - Capex Input'!$J159,0)</f>
        <v>1813374.46</v>
      </c>
      <c r="F733" s="30">
        <f>IF('11. Water - Capex Input'!$I159=F$3,'11. Water - Capex Input'!$J159,0)</f>
        <v>0</v>
      </c>
      <c r="G733" s="30">
        <f>IF('11. Water - Capex Input'!$I159=G$3,'11. Water - Capex Input'!$J159,0)</f>
        <v>0</v>
      </c>
      <c r="H733" s="30">
        <f>IF('11. Water - Capex Input'!$I159=H$3,'11. Water - Capex Input'!$J159,0)</f>
        <v>0</v>
      </c>
    </row>
    <row r="734" spans="2:8">
      <c r="B734" s="152">
        <f t="shared" si="30"/>
        <v>0</v>
      </c>
      <c r="D734" s="30">
        <f>IF('11. Water - Capex Input'!$I160=D$3,'11. Water - Capex Input'!$J160,0)</f>
        <v>0</v>
      </c>
      <c r="E734" s="30">
        <f>IF('11. Water - Capex Input'!$I160=E$3,'11. Water - Capex Input'!$J160,0)</f>
        <v>160000</v>
      </c>
      <c r="F734" s="30">
        <f>IF('11. Water - Capex Input'!$I160=F$3,'11. Water - Capex Input'!$J160,0)</f>
        <v>0</v>
      </c>
      <c r="G734" s="30">
        <f>IF('11. Water - Capex Input'!$I160=G$3,'11. Water - Capex Input'!$J160,0)</f>
        <v>0</v>
      </c>
      <c r="H734" s="30">
        <f>IF('11. Water - Capex Input'!$I160=H$3,'11. Water - Capex Input'!$J160,0)</f>
        <v>0</v>
      </c>
    </row>
    <row r="735" spans="2:8">
      <c r="B735" s="152">
        <f t="shared" si="30"/>
        <v>0</v>
      </c>
      <c r="D735" s="30">
        <f>IF('11. Water - Capex Input'!$I161=D$3,'11. Water - Capex Input'!$J161,0)</f>
        <v>0</v>
      </c>
      <c r="E735" s="30">
        <f>IF('11. Water - Capex Input'!$I161=E$3,'11. Water - Capex Input'!$J161,0)</f>
        <v>810600.00000000012</v>
      </c>
      <c r="F735" s="30">
        <f>IF('11. Water - Capex Input'!$I161=F$3,'11. Water - Capex Input'!$J161,0)</f>
        <v>0</v>
      </c>
      <c r="G735" s="30">
        <f>IF('11. Water - Capex Input'!$I161=G$3,'11. Water - Capex Input'!$J161,0)</f>
        <v>0</v>
      </c>
      <c r="H735" s="30">
        <f>IF('11. Water - Capex Input'!$I161=H$3,'11. Water - Capex Input'!$J161,0)</f>
        <v>0</v>
      </c>
    </row>
    <row r="736" spans="2:8">
      <c r="B736" s="152">
        <f t="shared" si="30"/>
        <v>0</v>
      </c>
      <c r="D736" s="30">
        <f>IF('11. Water - Capex Input'!$I162=D$3,'11. Water - Capex Input'!$J162,0)</f>
        <v>0</v>
      </c>
      <c r="E736" s="30">
        <f>IF('11. Water - Capex Input'!$I162=E$3,'11. Water - Capex Input'!$J162,0)</f>
        <v>67500</v>
      </c>
      <c r="F736" s="30">
        <f>IF('11. Water - Capex Input'!$I162=F$3,'11. Water - Capex Input'!$J162,0)</f>
        <v>0</v>
      </c>
      <c r="G736" s="30">
        <f>IF('11. Water - Capex Input'!$I162=G$3,'11. Water - Capex Input'!$J162,0)</f>
        <v>0</v>
      </c>
      <c r="H736" s="30">
        <f>IF('11. Water - Capex Input'!$I162=H$3,'11. Water - Capex Input'!$J162,0)</f>
        <v>0</v>
      </c>
    </row>
    <row r="737" spans="2:8">
      <c r="B737" s="152">
        <f t="shared" si="30"/>
        <v>0</v>
      </c>
      <c r="D737" s="30">
        <f>IF('11. Water - Capex Input'!$I163=D$3,'11. Water - Capex Input'!$J163,0)</f>
        <v>0</v>
      </c>
      <c r="E737" s="30">
        <f>IF('11. Water - Capex Input'!$I163=E$3,'11. Water - Capex Input'!$J163,0)</f>
        <v>758332.5</v>
      </c>
      <c r="F737" s="30">
        <f>IF('11. Water - Capex Input'!$I163=F$3,'11. Water - Capex Input'!$J163,0)</f>
        <v>0</v>
      </c>
      <c r="G737" s="30">
        <f>IF('11. Water - Capex Input'!$I163=G$3,'11. Water - Capex Input'!$J163,0)</f>
        <v>0</v>
      </c>
      <c r="H737" s="30">
        <f>IF('11. Water - Capex Input'!$I163=H$3,'11. Water - Capex Input'!$J163,0)</f>
        <v>0</v>
      </c>
    </row>
    <row r="738" spans="2:8">
      <c r="B738" s="152">
        <f t="shared" si="30"/>
        <v>0</v>
      </c>
      <c r="D738" s="30">
        <f>IF('11. Water - Capex Input'!$I164=D$3,'11. Water - Capex Input'!$J164,0)</f>
        <v>5513126.2974667996</v>
      </c>
      <c r="E738" s="30">
        <f>IF('11. Water - Capex Input'!$I164=E$3,'11. Water - Capex Input'!$J164,0)</f>
        <v>0</v>
      </c>
      <c r="F738" s="30">
        <f>IF('11. Water - Capex Input'!$I164=F$3,'11. Water - Capex Input'!$J164,0)</f>
        <v>0</v>
      </c>
      <c r="G738" s="30">
        <f>IF('11. Water - Capex Input'!$I164=G$3,'11. Water - Capex Input'!$J164,0)</f>
        <v>0</v>
      </c>
      <c r="H738" s="30">
        <f>IF('11. Water - Capex Input'!$I164=H$3,'11. Water - Capex Input'!$J164,0)</f>
        <v>0</v>
      </c>
    </row>
    <row r="739" spans="2:8">
      <c r="B739" s="152">
        <f t="shared" si="30"/>
        <v>0</v>
      </c>
      <c r="D739" s="30">
        <f>IF('11. Water - Capex Input'!$I165=D$3,'11. Water - Capex Input'!$J165,0)</f>
        <v>387671.00724703015</v>
      </c>
      <c r="E739" s="30">
        <f>IF('11. Water - Capex Input'!$I165=E$3,'11. Water - Capex Input'!$J165,0)</f>
        <v>0</v>
      </c>
      <c r="F739" s="30">
        <f>IF('11. Water - Capex Input'!$I165=F$3,'11. Water - Capex Input'!$J165,0)</f>
        <v>0</v>
      </c>
      <c r="G739" s="30">
        <f>IF('11. Water - Capex Input'!$I165=G$3,'11. Water - Capex Input'!$J165,0)</f>
        <v>0</v>
      </c>
      <c r="H739" s="30">
        <f>IF('11. Water - Capex Input'!$I165=H$3,'11. Water - Capex Input'!$J165,0)</f>
        <v>0</v>
      </c>
    </row>
    <row r="740" spans="2:8">
      <c r="B740" s="152">
        <f t="shared" si="30"/>
        <v>0</v>
      </c>
      <c r="D740" s="30">
        <f>IF('11. Water - Capex Input'!$I166=D$3,'11. Water - Capex Input'!$J166,0)</f>
        <v>105224.98488604407</v>
      </c>
      <c r="E740" s="30">
        <f>IF('11. Water - Capex Input'!$I166=E$3,'11. Water - Capex Input'!$J166,0)</f>
        <v>0</v>
      </c>
      <c r="F740" s="30">
        <f>IF('11. Water - Capex Input'!$I166=F$3,'11. Water - Capex Input'!$J166,0)</f>
        <v>0</v>
      </c>
      <c r="G740" s="30">
        <f>IF('11. Water - Capex Input'!$I166=G$3,'11. Water - Capex Input'!$J166,0)</f>
        <v>0</v>
      </c>
      <c r="H740" s="30">
        <f>IF('11. Water - Capex Input'!$I166=H$3,'11. Water - Capex Input'!$J166,0)</f>
        <v>0</v>
      </c>
    </row>
    <row r="741" spans="2:8">
      <c r="B741" s="152">
        <f t="shared" si="30"/>
        <v>0</v>
      </c>
      <c r="D741" s="30">
        <f>IF('11. Water - Capex Input'!$I167=D$3,'11. Water - Capex Input'!$J167,0)</f>
        <v>11076.310869080686</v>
      </c>
      <c r="E741" s="30">
        <f>IF('11. Water - Capex Input'!$I167=E$3,'11. Water - Capex Input'!$J167,0)</f>
        <v>0</v>
      </c>
      <c r="F741" s="30">
        <f>IF('11. Water - Capex Input'!$I167=F$3,'11. Water - Capex Input'!$J167,0)</f>
        <v>0</v>
      </c>
      <c r="G741" s="30">
        <f>IF('11. Water - Capex Input'!$I167=G$3,'11. Water - Capex Input'!$J167,0)</f>
        <v>0</v>
      </c>
      <c r="H741" s="30">
        <f>IF('11. Water - Capex Input'!$I167=H$3,'11. Water - Capex Input'!$J167,0)</f>
        <v>0</v>
      </c>
    </row>
    <row r="742" spans="2:8">
      <c r="B742" s="152">
        <f t="shared" si="30"/>
        <v>0</v>
      </c>
      <c r="D742" s="30">
        <f>IF('11. Water - Capex Input'!$I168=D$3,'11. Water - Capex Input'!$J168,0)</f>
        <v>49843.399531054805</v>
      </c>
      <c r="E742" s="30">
        <f>IF('11. Water - Capex Input'!$I168=E$3,'11. Water - Capex Input'!$J168,0)</f>
        <v>0</v>
      </c>
      <c r="F742" s="30">
        <f>IF('11. Water - Capex Input'!$I168=F$3,'11. Water - Capex Input'!$J168,0)</f>
        <v>0</v>
      </c>
      <c r="G742" s="30">
        <f>IF('11. Water - Capex Input'!$I168=G$3,'11. Water - Capex Input'!$J168,0)</f>
        <v>0</v>
      </c>
      <c r="H742" s="30">
        <f>IF('11. Water - Capex Input'!$I168=H$3,'11. Water - Capex Input'!$J168,0)</f>
        <v>0</v>
      </c>
    </row>
    <row r="743" spans="2:8">
      <c r="B743" s="152">
        <f t="shared" si="30"/>
        <v>0</v>
      </c>
      <c r="D743" s="30">
        <f>IF('11. Water - Capex Input'!$I169=D$3,'11. Water - Capex Input'!$J169,0)</f>
        <v>6121.9921095218906</v>
      </c>
      <c r="E743" s="30">
        <f>IF('11. Water - Capex Input'!$I169=E$3,'11. Water - Capex Input'!$J169,0)</f>
        <v>0</v>
      </c>
      <c r="F743" s="30">
        <f>IF('11. Water - Capex Input'!$I169=F$3,'11. Water - Capex Input'!$J169,0)</f>
        <v>0</v>
      </c>
      <c r="G743" s="30">
        <f>IF('11. Water - Capex Input'!$I169=G$3,'11. Water - Capex Input'!$J169,0)</f>
        <v>0</v>
      </c>
      <c r="H743" s="30">
        <f>IF('11. Water - Capex Input'!$I169=H$3,'11. Water - Capex Input'!$J169,0)</f>
        <v>0</v>
      </c>
    </row>
    <row r="744" spans="2:8">
      <c r="B744" s="152">
        <f t="shared" si="30"/>
        <v>0</v>
      </c>
      <c r="D744" s="30">
        <f>IF('11. Water - Capex Input'!$I170=D$3,'11. Water - Capex Input'!$J170,0)</f>
        <v>30609.93338148222</v>
      </c>
      <c r="E744" s="30">
        <f>IF('11. Water - Capex Input'!$I170=E$3,'11. Water - Capex Input'!$J170,0)</f>
        <v>0</v>
      </c>
      <c r="F744" s="30">
        <f>IF('11. Water - Capex Input'!$I170=F$3,'11. Water - Capex Input'!$J170,0)</f>
        <v>0</v>
      </c>
      <c r="G744" s="30">
        <f>IF('11. Water - Capex Input'!$I170=G$3,'11. Water - Capex Input'!$J170,0)</f>
        <v>0</v>
      </c>
      <c r="H744" s="30">
        <f>IF('11. Water - Capex Input'!$I170=H$3,'11. Water - Capex Input'!$J170,0)</f>
        <v>0</v>
      </c>
    </row>
    <row r="745" spans="2:8">
      <c r="B745" s="152">
        <f t="shared" si="30"/>
        <v>0</v>
      </c>
      <c r="D745" s="30">
        <f>IF('11. Water - Capex Input'!$I171=D$3,'11. Water - Capex Input'!$J171,0)</f>
        <v>27538.241634342947</v>
      </c>
      <c r="E745" s="30">
        <f>IF('11. Water - Capex Input'!$I171=E$3,'11. Water - Capex Input'!$J171,0)</f>
        <v>0</v>
      </c>
      <c r="F745" s="30">
        <f>IF('11. Water - Capex Input'!$I171=F$3,'11. Water - Capex Input'!$J171,0)</f>
        <v>0</v>
      </c>
      <c r="G745" s="30">
        <f>IF('11. Water - Capex Input'!$I171=G$3,'11. Water - Capex Input'!$J171,0)</f>
        <v>0</v>
      </c>
      <c r="H745" s="30">
        <f>IF('11. Water - Capex Input'!$I171=H$3,'11. Water - Capex Input'!$J171,0)</f>
        <v>0</v>
      </c>
    </row>
    <row r="746" spans="2:8">
      <c r="B746" s="152">
        <f t="shared" si="30"/>
        <v>0</v>
      </c>
      <c r="D746" s="30">
        <f>IF('11. Water - Capex Input'!$I172=D$3,'11. Water - Capex Input'!$J172,0)</f>
        <v>6121.9866762964439</v>
      </c>
      <c r="E746" s="30">
        <f>IF('11. Water - Capex Input'!$I172=E$3,'11. Water - Capex Input'!$J172,0)</f>
        <v>0</v>
      </c>
      <c r="F746" s="30">
        <f>IF('11. Water - Capex Input'!$I172=F$3,'11. Water - Capex Input'!$J172,0)</f>
        <v>0</v>
      </c>
      <c r="G746" s="30">
        <f>IF('11. Water - Capex Input'!$I172=G$3,'11. Water - Capex Input'!$J172,0)</f>
        <v>0</v>
      </c>
      <c r="H746" s="30">
        <f>IF('11. Water - Capex Input'!$I172=H$3,'11. Water - Capex Input'!$J172,0)</f>
        <v>0</v>
      </c>
    </row>
    <row r="747" spans="2:8">
      <c r="B747" s="152">
        <f t="shared" si="30"/>
        <v>0</v>
      </c>
      <c r="D747" s="30">
        <f>IF('11. Water - Capex Input'!$I173=D$3,'11. Water - Capex Input'!$J173,0)</f>
        <v>9179.4176481074828</v>
      </c>
      <c r="E747" s="30">
        <f>IF('11. Water - Capex Input'!$I173=E$3,'11. Water - Capex Input'!$J173,0)</f>
        <v>0</v>
      </c>
      <c r="F747" s="30">
        <f>IF('11. Water - Capex Input'!$I173=F$3,'11. Water - Capex Input'!$J173,0)</f>
        <v>0</v>
      </c>
      <c r="G747" s="30">
        <f>IF('11. Water - Capex Input'!$I173=G$3,'11. Water - Capex Input'!$J173,0)</f>
        <v>0</v>
      </c>
      <c r="H747" s="30">
        <f>IF('11. Water - Capex Input'!$I173=H$3,'11. Water - Capex Input'!$J173,0)</f>
        <v>0</v>
      </c>
    </row>
    <row r="748" spans="2:8">
      <c r="B748" s="152">
        <f t="shared" si="30"/>
        <v>0</v>
      </c>
      <c r="D748" s="30">
        <f>IF('11. Water - Capex Input'!$I174=D$3,'11. Water - Capex Input'!$J174,0)</f>
        <v>569344.76089556934</v>
      </c>
      <c r="E748" s="30">
        <f>IF('11. Water - Capex Input'!$I174=E$3,'11. Water - Capex Input'!$J174,0)</f>
        <v>0</v>
      </c>
      <c r="F748" s="30">
        <f>IF('11. Water - Capex Input'!$I174=F$3,'11. Water - Capex Input'!$J174,0)</f>
        <v>0</v>
      </c>
      <c r="G748" s="30">
        <f>IF('11. Water - Capex Input'!$I174=G$3,'11. Water - Capex Input'!$J174,0)</f>
        <v>0</v>
      </c>
      <c r="H748" s="30">
        <f>IF('11. Water - Capex Input'!$I174=H$3,'11. Water - Capex Input'!$J174,0)</f>
        <v>0</v>
      </c>
    </row>
    <row r="749" spans="2:8">
      <c r="B749" s="152">
        <f t="shared" si="30"/>
        <v>0</v>
      </c>
      <c r="D749" s="30">
        <f>IF('11. Water - Capex Input'!$I175=D$3,'11. Water - Capex Input'!$J175,0)</f>
        <v>100973.55177220026</v>
      </c>
      <c r="E749" s="30">
        <f>IF('11. Water - Capex Input'!$I175=E$3,'11. Water - Capex Input'!$J175,0)</f>
        <v>0</v>
      </c>
      <c r="F749" s="30">
        <f>IF('11. Water - Capex Input'!$I175=F$3,'11. Water - Capex Input'!$J175,0)</f>
        <v>0</v>
      </c>
      <c r="G749" s="30">
        <f>IF('11. Water - Capex Input'!$I175=G$3,'11. Water - Capex Input'!$J175,0)</f>
        <v>0</v>
      </c>
      <c r="H749" s="30">
        <f>IF('11. Water - Capex Input'!$I175=H$3,'11. Water - Capex Input'!$J175,0)</f>
        <v>0</v>
      </c>
    </row>
    <row r="750" spans="2:8">
      <c r="B750" s="152">
        <f t="shared" si="30"/>
        <v>0</v>
      </c>
      <c r="D750" s="30">
        <f>IF('11. Water - Capex Input'!$I176=D$3,'11. Water - Capex Input'!$J176,0)</f>
        <v>137691.19431144575</v>
      </c>
      <c r="E750" s="30">
        <f>IF('11. Water - Capex Input'!$I176=E$3,'11. Water - Capex Input'!$J176,0)</f>
        <v>0</v>
      </c>
      <c r="F750" s="30">
        <f>IF('11. Water - Capex Input'!$I176=F$3,'11. Water - Capex Input'!$J176,0)</f>
        <v>0</v>
      </c>
      <c r="G750" s="30">
        <f>IF('11. Water - Capex Input'!$I176=G$3,'11. Water - Capex Input'!$J176,0)</f>
        <v>0</v>
      </c>
      <c r="H750" s="30">
        <f>IF('11. Water - Capex Input'!$I176=H$3,'11. Water - Capex Input'!$J176,0)</f>
        <v>0</v>
      </c>
    </row>
    <row r="751" spans="2:8">
      <c r="B751" s="152">
        <f t="shared" si="30"/>
        <v>0</v>
      </c>
      <c r="D751" s="30">
        <f>IF('11. Water - Capex Input'!$I177=D$3,'11. Water - Capex Input'!$J177,0)</f>
        <v>642558.92157103377</v>
      </c>
      <c r="E751" s="30">
        <f>IF('11. Water - Capex Input'!$I177=E$3,'11. Water - Capex Input'!$J177,0)</f>
        <v>0</v>
      </c>
      <c r="F751" s="30">
        <f>IF('11. Water - Capex Input'!$I177=F$3,'11. Water - Capex Input'!$J177,0)</f>
        <v>0</v>
      </c>
      <c r="G751" s="30">
        <f>IF('11. Water - Capex Input'!$I177=G$3,'11. Water - Capex Input'!$J177,0)</f>
        <v>0</v>
      </c>
      <c r="H751" s="30">
        <f>IF('11. Water - Capex Input'!$I177=H$3,'11. Water - Capex Input'!$J177,0)</f>
        <v>0</v>
      </c>
    </row>
    <row r="752" spans="2:8">
      <c r="B752" s="152">
        <f t="shared" si="30"/>
        <v>0</v>
      </c>
      <c r="D752" s="30">
        <f>IF('11. Water - Capex Input'!$I178=D$3,'11. Water - Capex Input'!$J178,0)</f>
        <v>479571</v>
      </c>
      <c r="E752" s="30">
        <f>IF('11. Water - Capex Input'!$I178=E$3,'11. Water - Capex Input'!$J178,0)</f>
        <v>0</v>
      </c>
      <c r="F752" s="30">
        <f>IF('11. Water - Capex Input'!$I178=F$3,'11. Water - Capex Input'!$J178,0)</f>
        <v>0</v>
      </c>
      <c r="G752" s="30">
        <f>IF('11. Water - Capex Input'!$I178=G$3,'11. Water - Capex Input'!$J178,0)</f>
        <v>0</v>
      </c>
      <c r="H752" s="30">
        <f>IF('11. Water - Capex Input'!$I178=H$3,'11. Water - Capex Input'!$J178,0)</f>
        <v>0</v>
      </c>
    </row>
    <row r="753" spans="2:8">
      <c r="B753" s="152">
        <f t="shared" si="30"/>
        <v>0</v>
      </c>
      <c r="D753" s="30">
        <f>IF('11. Water - Capex Input'!$I179=D$3,'11. Water - Capex Input'!$J179,0)</f>
        <v>33440.072314549354</v>
      </c>
      <c r="E753" s="30">
        <f>IF('11. Water - Capex Input'!$I179=E$3,'11. Water - Capex Input'!$J179,0)</f>
        <v>0</v>
      </c>
      <c r="F753" s="30">
        <f>IF('11. Water - Capex Input'!$I179=F$3,'11. Water - Capex Input'!$J179,0)</f>
        <v>0</v>
      </c>
      <c r="G753" s="30">
        <f>IF('11. Water - Capex Input'!$I179=G$3,'11. Water - Capex Input'!$J179,0)</f>
        <v>0</v>
      </c>
      <c r="H753" s="30">
        <f>IF('11. Water - Capex Input'!$I179=H$3,'11. Water - Capex Input'!$J179,0)</f>
        <v>0</v>
      </c>
    </row>
    <row r="754" spans="2:8">
      <c r="B754" s="152">
        <f t="shared" si="30"/>
        <v>0</v>
      </c>
      <c r="D754" s="30">
        <f>IF('11. Water - Capex Input'!$I180=D$3,'11. Water - Capex Input'!$J180,0)</f>
        <v>257897.65406452466</v>
      </c>
      <c r="E754" s="30">
        <f>IF('11. Water - Capex Input'!$I180=E$3,'11. Water - Capex Input'!$J180,0)</f>
        <v>0</v>
      </c>
      <c r="F754" s="30">
        <f>IF('11. Water - Capex Input'!$I180=F$3,'11. Water - Capex Input'!$J180,0)</f>
        <v>0</v>
      </c>
      <c r="G754" s="30">
        <f>IF('11. Water - Capex Input'!$I180=G$3,'11. Water - Capex Input'!$J180,0)</f>
        <v>0</v>
      </c>
      <c r="H754" s="30">
        <f>IF('11. Water - Capex Input'!$I180=H$3,'11. Water - Capex Input'!$J180,0)</f>
        <v>0</v>
      </c>
    </row>
    <row r="755" spans="2:8">
      <c r="B755" s="152">
        <f t="shared" si="30"/>
        <v>0</v>
      </c>
      <c r="D755" s="30">
        <f>IF('11. Water - Capex Input'!$I181=D$3,'11. Water - Capex Input'!$J181,0)</f>
        <v>66462.146166532737</v>
      </c>
      <c r="E755" s="30">
        <f>IF('11. Water - Capex Input'!$I181=E$3,'11. Water - Capex Input'!$J181,0)</f>
        <v>0</v>
      </c>
      <c r="F755" s="30">
        <f>IF('11. Water - Capex Input'!$I181=F$3,'11. Water - Capex Input'!$J181,0)</f>
        <v>0</v>
      </c>
      <c r="G755" s="30">
        <f>IF('11. Water - Capex Input'!$I181=G$3,'11. Water - Capex Input'!$J181,0)</f>
        <v>0</v>
      </c>
      <c r="H755" s="30">
        <f>IF('11. Water - Capex Input'!$I181=H$3,'11. Water - Capex Input'!$J181,0)</f>
        <v>0</v>
      </c>
    </row>
    <row r="756" spans="2:8">
      <c r="B756" s="152">
        <f t="shared" si="30"/>
        <v>0</v>
      </c>
      <c r="D756" s="30">
        <f>IF('11. Water - Capex Input'!$I182=D$3,'11. Water - Capex Input'!$J182,0)</f>
        <v>29469.063727196619</v>
      </c>
      <c r="E756" s="30">
        <f>IF('11. Water - Capex Input'!$I182=E$3,'11. Water - Capex Input'!$J182,0)</f>
        <v>0</v>
      </c>
      <c r="F756" s="30">
        <f>IF('11. Water - Capex Input'!$I182=F$3,'11. Water - Capex Input'!$J182,0)</f>
        <v>0</v>
      </c>
      <c r="G756" s="30">
        <f>IF('11. Water - Capex Input'!$I182=G$3,'11. Water - Capex Input'!$J182,0)</f>
        <v>0</v>
      </c>
      <c r="H756" s="30">
        <f>IF('11. Water - Capex Input'!$I182=H$3,'11. Water - Capex Input'!$J182,0)</f>
        <v>0</v>
      </c>
    </row>
    <row r="757" spans="2:8">
      <c r="B757" s="152">
        <f t="shared" si="30"/>
        <v>0</v>
      </c>
      <c r="D757" s="30">
        <f>IF('11. Water - Capex Input'!$I183=D$3,'11. Water - Capex Input'!$J183,0)</f>
        <v>29469.063727196619</v>
      </c>
      <c r="E757" s="30">
        <f>IF('11. Water - Capex Input'!$I183=E$3,'11. Water - Capex Input'!$J183,0)</f>
        <v>0</v>
      </c>
      <c r="F757" s="30">
        <f>IF('11. Water - Capex Input'!$I183=F$3,'11. Water - Capex Input'!$J183,0)</f>
        <v>0</v>
      </c>
      <c r="G757" s="30">
        <f>IF('11. Water - Capex Input'!$I183=G$3,'11. Water - Capex Input'!$J183,0)</f>
        <v>0</v>
      </c>
      <c r="H757" s="30">
        <f>IF('11. Water - Capex Input'!$I183=H$3,'11. Water - Capex Input'!$J183,0)</f>
        <v>0</v>
      </c>
    </row>
    <row r="758" spans="2:8">
      <c r="B758" s="152">
        <f t="shared" si="30"/>
        <v>0</v>
      </c>
      <c r="D758" s="30">
        <f>IF('11. Water - Capex Input'!$I184=D$3,'11. Water - Capex Input'!$J184,0)</f>
        <v>83461</v>
      </c>
      <c r="E758" s="30">
        <f>IF('11. Water - Capex Input'!$I184=E$3,'11. Water - Capex Input'!$J184,0)</f>
        <v>0</v>
      </c>
      <c r="F758" s="30">
        <f>IF('11. Water - Capex Input'!$I184=F$3,'11. Water - Capex Input'!$J184,0)</f>
        <v>0</v>
      </c>
      <c r="G758" s="30">
        <f>IF('11. Water - Capex Input'!$I184=G$3,'11. Water - Capex Input'!$J184,0)</f>
        <v>0</v>
      </c>
      <c r="H758" s="30">
        <f>IF('11. Water - Capex Input'!$I184=H$3,'11. Water - Capex Input'!$J184,0)</f>
        <v>0</v>
      </c>
    </row>
    <row r="759" spans="2:8">
      <c r="B759" s="152">
        <f t="shared" si="30"/>
        <v>0</v>
      </c>
      <c r="D759" s="30">
        <f>IF('11. Water - Capex Input'!$I185=D$3,'11. Water - Capex Input'!$J185,0)</f>
        <v>103772.81</v>
      </c>
      <c r="E759" s="30">
        <f>IF('11. Water - Capex Input'!$I185=E$3,'11. Water - Capex Input'!$J185,0)</f>
        <v>0</v>
      </c>
      <c r="F759" s="30">
        <f>IF('11. Water - Capex Input'!$I185=F$3,'11. Water - Capex Input'!$J185,0)</f>
        <v>0</v>
      </c>
      <c r="G759" s="30">
        <f>IF('11. Water - Capex Input'!$I185=G$3,'11. Water - Capex Input'!$J185,0)</f>
        <v>0</v>
      </c>
      <c r="H759" s="30">
        <f>IF('11. Water - Capex Input'!$I185=H$3,'11. Water - Capex Input'!$J185,0)</f>
        <v>0</v>
      </c>
    </row>
    <row r="760" spans="2:8">
      <c r="B760" s="2" t="str">
        <f t="shared" si="30"/>
        <v>Carndo Year 4 Reduction</v>
      </c>
      <c r="D760" s="30">
        <f>IF('11. Water - Capex Input'!$I186=D$3,'11. Water - Capex Input'!$J186,0)</f>
        <v>0</v>
      </c>
      <c r="E760" s="30">
        <f>IF('11. Water - Capex Input'!$I186=E$3,'11. Water - Capex Input'!$J186,0)</f>
        <v>0</v>
      </c>
      <c r="F760" s="30">
        <f>IF('11. Water - Capex Input'!$I186=F$3,'11. Water - Capex Input'!$J186,0)</f>
        <v>0</v>
      </c>
      <c r="G760" s="30">
        <f>IF('11. Water - Capex Input'!$I186=G$3,'11. Water - Capex Input'!$J186,0)</f>
        <v>-2080841.3054067653</v>
      </c>
      <c r="H760" s="30">
        <f>IF('11. Water - Capex Input'!$I186=H$3,'11. Water - Capex Input'!$J186,0)</f>
        <v>0</v>
      </c>
    </row>
    <row r="761" spans="2:8">
      <c r="B761" s="2" t="str">
        <f t="shared" si="30"/>
        <v>Carndo Year 5 Reduction</v>
      </c>
      <c r="D761" s="30">
        <f>IF('11. Water - Capex Input'!$I187=D$3,'11. Water - Capex Input'!$J187,0)</f>
        <v>0</v>
      </c>
      <c r="E761" s="30">
        <f>IF('11. Water - Capex Input'!$I187=E$3,'11. Water - Capex Input'!$J187,0)</f>
        <v>0</v>
      </c>
      <c r="F761" s="30">
        <f>IF('11. Water - Capex Input'!$I187=F$3,'11. Water - Capex Input'!$J187,0)</f>
        <v>0</v>
      </c>
      <c r="G761" s="30">
        <f>IF('11. Water - Capex Input'!$I187=G$3,'11. Water - Capex Input'!$J187,0)</f>
        <v>0</v>
      </c>
      <c r="H761" s="30">
        <f>IF('11. Water - Capex Input'!$I187=H$3,'11. Water - Capex Input'!$J187,0)</f>
        <v>-3754256.6513461662</v>
      </c>
    </row>
    <row r="762" spans="2:8">
      <c r="B762" s="2" t="s">
        <v>55</v>
      </c>
      <c r="D762" s="48">
        <f>SUM(D579:D761)</f>
        <v>34643404.405000024</v>
      </c>
      <c r="E762" s="48">
        <f>SUM(E579:E761)</f>
        <v>26993825.123333331</v>
      </c>
      <c r="F762" s="48">
        <f>SUM(F579:F761)</f>
        <v>24440593.263872232</v>
      </c>
      <c r="G762" s="48">
        <f>SUM(G579:G761)</f>
        <v>28868116.86681056</v>
      </c>
      <c r="H762" s="48">
        <f>SUM(H579:H761)</f>
        <v>42188866.395676591</v>
      </c>
    </row>
    <row r="763" spans="2:8">
      <c r="D763" s="70"/>
      <c r="E763" s="70"/>
      <c r="F763" s="70"/>
      <c r="G763" s="70"/>
      <c r="H763" s="70"/>
    </row>
    <row r="764" spans="2:8" ht="15.75">
      <c r="B764" s="10" t="s">
        <v>12</v>
      </c>
      <c r="D764" s="30"/>
      <c r="E764" s="30"/>
      <c r="F764" s="30"/>
      <c r="G764" s="30"/>
      <c r="H764" s="30"/>
    </row>
    <row r="765" spans="2:8">
      <c r="B765" s="152">
        <f>B579</f>
        <v>0</v>
      </c>
      <c r="D765" s="30"/>
      <c r="E765" s="30"/>
      <c r="F765" s="30"/>
      <c r="G765" s="30"/>
      <c r="H765" s="30"/>
    </row>
    <row r="766" spans="2:8">
      <c r="B766" s="152">
        <f t="shared" ref="B766:B829" si="31">B580</f>
        <v>0</v>
      </c>
      <c r="D766" s="30"/>
      <c r="E766" s="30"/>
      <c r="F766" s="30"/>
      <c r="G766" s="30"/>
      <c r="H766" s="30"/>
    </row>
    <row r="767" spans="2:8">
      <c r="B767" s="152">
        <f t="shared" si="31"/>
        <v>0</v>
      </c>
      <c r="D767" s="30"/>
      <c r="E767" s="30"/>
      <c r="F767" s="30"/>
      <c r="G767" s="30"/>
      <c r="H767" s="30"/>
    </row>
    <row r="768" spans="2:8">
      <c r="B768" s="152">
        <f t="shared" si="31"/>
        <v>0</v>
      </c>
      <c r="D768" s="30"/>
      <c r="E768" s="30"/>
      <c r="F768" s="30"/>
      <c r="G768" s="30"/>
      <c r="H768" s="30"/>
    </row>
    <row r="769" spans="2:8">
      <c r="B769" s="152">
        <f t="shared" si="31"/>
        <v>0</v>
      </c>
      <c r="D769" s="30"/>
      <c r="E769" s="30"/>
      <c r="F769" s="30"/>
      <c r="G769" s="30"/>
      <c r="H769" s="30"/>
    </row>
    <row r="770" spans="2:8">
      <c r="B770" s="152">
        <f t="shared" si="31"/>
        <v>0</v>
      </c>
      <c r="D770" s="30"/>
      <c r="E770" s="30"/>
      <c r="F770" s="30"/>
      <c r="G770" s="30"/>
      <c r="H770" s="30"/>
    </row>
    <row r="771" spans="2:8">
      <c r="B771" s="152">
        <f t="shared" si="31"/>
        <v>0</v>
      </c>
      <c r="D771" s="30"/>
      <c r="E771" s="30"/>
      <c r="F771" s="30"/>
      <c r="G771" s="30"/>
      <c r="H771" s="30"/>
    </row>
    <row r="772" spans="2:8">
      <c r="B772" s="152">
        <f t="shared" si="31"/>
        <v>0</v>
      </c>
      <c r="D772" s="30"/>
      <c r="E772" s="30"/>
      <c r="F772" s="30"/>
      <c r="G772" s="30"/>
      <c r="H772" s="30"/>
    </row>
    <row r="773" spans="2:8">
      <c r="B773" s="152">
        <f t="shared" si="31"/>
        <v>0</v>
      </c>
      <c r="D773" s="30"/>
      <c r="E773" s="30"/>
      <c r="F773" s="30"/>
      <c r="G773" s="30"/>
      <c r="H773" s="30"/>
    </row>
    <row r="774" spans="2:8">
      <c r="B774" s="152">
        <f t="shared" si="31"/>
        <v>0</v>
      </c>
      <c r="D774" s="30"/>
      <c r="E774" s="30"/>
      <c r="F774" s="30"/>
      <c r="G774" s="30"/>
      <c r="H774" s="30"/>
    </row>
    <row r="775" spans="2:8">
      <c r="B775" s="152">
        <f t="shared" si="31"/>
        <v>0</v>
      </c>
      <c r="D775" s="30"/>
      <c r="E775" s="30"/>
      <c r="F775" s="30"/>
      <c r="G775" s="30"/>
      <c r="H775" s="30"/>
    </row>
    <row r="776" spans="2:8">
      <c r="B776" s="152">
        <f t="shared" si="31"/>
        <v>0</v>
      </c>
      <c r="D776" s="30"/>
      <c r="E776" s="30"/>
      <c r="F776" s="30"/>
      <c r="G776" s="30"/>
      <c r="H776" s="30"/>
    </row>
    <row r="777" spans="2:8">
      <c r="B777" s="152">
        <f t="shared" si="31"/>
        <v>0</v>
      </c>
      <c r="D777" s="30"/>
      <c r="E777" s="30"/>
      <c r="F777" s="30"/>
      <c r="G777" s="30"/>
      <c r="H777" s="30"/>
    </row>
    <row r="778" spans="2:8">
      <c r="B778" s="152">
        <f t="shared" si="31"/>
        <v>0</v>
      </c>
      <c r="D778" s="30"/>
      <c r="E778" s="30"/>
      <c r="F778" s="30"/>
      <c r="G778" s="30"/>
      <c r="H778" s="30"/>
    </row>
    <row r="779" spans="2:8">
      <c r="B779" s="152">
        <f t="shared" si="31"/>
        <v>0</v>
      </c>
      <c r="D779" s="30"/>
      <c r="E779" s="30"/>
      <c r="F779" s="30"/>
      <c r="G779" s="30"/>
      <c r="H779" s="30"/>
    </row>
    <row r="780" spans="2:8">
      <c r="B780" s="152">
        <f t="shared" si="31"/>
        <v>0</v>
      </c>
      <c r="D780" s="30"/>
      <c r="E780" s="30"/>
      <c r="F780" s="30"/>
      <c r="G780" s="30"/>
      <c r="H780" s="30"/>
    </row>
    <row r="781" spans="2:8">
      <c r="B781" s="152">
        <f t="shared" si="31"/>
        <v>0</v>
      </c>
      <c r="D781" s="30"/>
      <c r="E781" s="30"/>
      <c r="F781" s="30"/>
      <c r="G781" s="30"/>
      <c r="H781" s="30"/>
    </row>
    <row r="782" spans="2:8">
      <c r="B782" s="152">
        <f t="shared" si="31"/>
        <v>0</v>
      </c>
      <c r="D782" s="30"/>
      <c r="E782" s="30"/>
      <c r="F782" s="30"/>
      <c r="G782" s="30"/>
      <c r="H782" s="30"/>
    </row>
    <row r="783" spans="2:8">
      <c r="B783" s="152">
        <f t="shared" si="31"/>
        <v>0</v>
      </c>
      <c r="D783" s="30"/>
      <c r="E783" s="30"/>
      <c r="F783" s="30"/>
      <c r="G783" s="30"/>
      <c r="H783" s="30"/>
    </row>
    <row r="784" spans="2:8">
      <c r="B784" s="152">
        <f t="shared" si="31"/>
        <v>0</v>
      </c>
      <c r="D784" s="30"/>
      <c r="E784" s="30"/>
      <c r="F784" s="30"/>
      <c r="G784" s="30"/>
      <c r="H784" s="30"/>
    </row>
    <row r="785" spans="2:8">
      <c r="B785" s="152">
        <f t="shared" si="31"/>
        <v>0</v>
      </c>
      <c r="D785" s="30"/>
      <c r="E785" s="30"/>
      <c r="F785" s="30"/>
      <c r="G785" s="30"/>
      <c r="H785" s="30"/>
    </row>
    <row r="786" spans="2:8">
      <c r="B786" s="152">
        <f t="shared" si="31"/>
        <v>0</v>
      </c>
      <c r="D786" s="30"/>
      <c r="E786" s="30"/>
      <c r="F786" s="30"/>
      <c r="G786" s="30"/>
      <c r="H786" s="30"/>
    </row>
    <row r="787" spans="2:8">
      <c r="B787" s="152">
        <f t="shared" si="31"/>
        <v>0</v>
      </c>
      <c r="D787" s="30"/>
      <c r="E787" s="30"/>
      <c r="F787" s="30"/>
      <c r="G787" s="30"/>
      <c r="H787" s="30"/>
    </row>
    <row r="788" spans="2:8">
      <c r="B788" s="152">
        <f t="shared" si="31"/>
        <v>0</v>
      </c>
      <c r="D788" s="30"/>
      <c r="E788" s="30"/>
      <c r="F788" s="30"/>
      <c r="G788" s="30"/>
      <c r="H788" s="30"/>
    </row>
    <row r="789" spans="2:8">
      <c r="B789" s="152">
        <f t="shared" si="31"/>
        <v>0</v>
      </c>
      <c r="D789" s="30"/>
      <c r="E789" s="30"/>
      <c r="F789" s="30"/>
      <c r="G789" s="30"/>
      <c r="H789" s="30"/>
    </row>
    <row r="790" spans="2:8">
      <c r="B790" s="152">
        <f t="shared" si="31"/>
        <v>0</v>
      </c>
      <c r="D790" s="30"/>
      <c r="E790" s="30"/>
      <c r="F790" s="30"/>
      <c r="G790" s="30"/>
      <c r="H790" s="30"/>
    </row>
    <row r="791" spans="2:8">
      <c r="B791" s="152">
        <f t="shared" si="31"/>
        <v>0</v>
      </c>
      <c r="D791" s="30"/>
      <c r="E791" s="30"/>
      <c r="F791" s="30"/>
      <c r="G791" s="30"/>
      <c r="H791" s="30"/>
    </row>
    <row r="792" spans="2:8">
      <c r="B792" s="152">
        <f t="shared" si="31"/>
        <v>0</v>
      </c>
      <c r="D792" s="30"/>
      <c r="E792" s="30"/>
      <c r="F792" s="30"/>
      <c r="G792" s="30"/>
      <c r="H792" s="30"/>
    </row>
    <row r="793" spans="2:8">
      <c r="B793" s="152">
        <f t="shared" si="31"/>
        <v>0</v>
      </c>
      <c r="D793" s="30"/>
      <c r="E793" s="30"/>
      <c r="F793" s="30"/>
      <c r="G793" s="30"/>
      <c r="H793" s="30"/>
    </row>
    <row r="794" spans="2:8">
      <c r="B794" s="152">
        <f t="shared" si="31"/>
        <v>0</v>
      </c>
      <c r="D794" s="30"/>
      <c r="E794" s="30"/>
      <c r="F794" s="30"/>
      <c r="G794" s="30"/>
      <c r="H794" s="30"/>
    </row>
    <row r="795" spans="2:8">
      <c r="B795" s="152">
        <f t="shared" si="31"/>
        <v>0</v>
      </c>
      <c r="D795" s="30"/>
      <c r="E795" s="30"/>
      <c r="F795" s="30"/>
      <c r="G795" s="30"/>
      <c r="H795" s="30"/>
    </row>
    <row r="796" spans="2:8">
      <c r="B796" s="152">
        <f t="shared" si="31"/>
        <v>0</v>
      </c>
      <c r="D796" s="30"/>
      <c r="E796" s="30"/>
      <c r="F796" s="30"/>
      <c r="G796" s="30"/>
      <c r="H796" s="30"/>
    </row>
    <row r="797" spans="2:8">
      <c r="B797" s="152">
        <f t="shared" si="31"/>
        <v>0</v>
      </c>
      <c r="D797" s="30"/>
      <c r="E797" s="30"/>
      <c r="F797" s="30"/>
      <c r="G797" s="30"/>
      <c r="H797" s="30"/>
    </row>
    <row r="798" spans="2:8">
      <c r="B798" s="152">
        <f t="shared" si="31"/>
        <v>0</v>
      </c>
      <c r="D798" s="30"/>
      <c r="E798" s="30"/>
      <c r="F798" s="30"/>
      <c r="G798" s="30"/>
      <c r="H798" s="30"/>
    </row>
    <row r="799" spans="2:8">
      <c r="B799" s="152">
        <f t="shared" si="31"/>
        <v>0</v>
      </c>
      <c r="D799" s="30"/>
      <c r="E799" s="30"/>
      <c r="F799" s="30"/>
      <c r="G799" s="30"/>
      <c r="H799" s="30"/>
    </row>
    <row r="800" spans="2:8">
      <c r="B800" s="152">
        <f t="shared" si="31"/>
        <v>0</v>
      </c>
      <c r="D800" s="30"/>
      <c r="E800" s="30"/>
      <c r="F800" s="30"/>
      <c r="G800" s="30"/>
      <c r="H800" s="30"/>
    </row>
    <row r="801" spans="2:8">
      <c r="B801" s="152">
        <f t="shared" si="31"/>
        <v>0</v>
      </c>
      <c r="D801" s="30"/>
      <c r="E801" s="30"/>
      <c r="F801" s="30"/>
      <c r="G801" s="30"/>
      <c r="H801" s="30"/>
    </row>
    <row r="802" spans="2:8">
      <c r="B802" s="152">
        <f t="shared" si="31"/>
        <v>0</v>
      </c>
      <c r="D802" s="30"/>
      <c r="E802" s="30"/>
      <c r="F802" s="30"/>
      <c r="G802" s="30"/>
      <c r="H802" s="30"/>
    </row>
    <row r="803" spans="2:8">
      <c r="B803" s="152">
        <f t="shared" si="31"/>
        <v>0</v>
      </c>
      <c r="D803" s="30"/>
      <c r="E803" s="30"/>
      <c r="F803" s="30"/>
      <c r="G803" s="30"/>
      <c r="H803" s="30"/>
    </row>
    <row r="804" spans="2:8">
      <c r="B804" s="152">
        <f t="shared" si="31"/>
        <v>0</v>
      </c>
      <c r="D804" s="30"/>
      <c r="E804" s="30"/>
      <c r="F804" s="30"/>
      <c r="G804" s="30"/>
      <c r="H804" s="30"/>
    </row>
    <row r="805" spans="2:8">
      <c r="B805" s="152">
        <f t="shared" si="31"/>
        <v>0</v>
      </c>
      <c r="D805" s="30"/>
      <c r="E805" s="30"/>
      <c r="F805" s="30"/>
      <c r="G805" s="30"/>
      <c r="H805" s="30"/>
    </row>
    <row r="806" spans="2:8">
      <c r="B806" s="152">
        <f t="shared" si="31"/>
        <v>0</v>
      </c>
      <c r="D806" s="30"/>
      <c r="E806" s="30"/>
      <c r="F806" s="30"/>
      <c r="G806" s="30"/>
      <c r="H806" s="30"/>
    </row>
    <row r="807" spans="2:8">
      <c r="B807" s="152">
        <f t="shared" si="31"/>
        <v>0</v>
      </c>
      <c r="D807" s="30"/>
      <c r="E807" s="30"/>
      <c r="F807" s="30"/>
      <c r="G807" s="30"/>
      <c r="H807" s="30"/>
    </row>
    <row r="808" spans="2:8">
      <c r="B808" s="152">
        <f t="shared" si="31"/>
        <v>0</v>
      </c>
      <c r="D808" s="30"/>
      <c r="E808" s="30"/>
      <c r="F808" s="30"/>
      <c r="G808" s="30"/>
      <c r="H808" s="30"/>
    </row>
    <row r="809" spans="2:8">
      <c r="B809" s="152">
        <f t="shared" si="31"/>
        <v>0</v>
      </c>
      <c r="D809" s="30"/>
      <c r="E809" s="30"/>
      <c r="F809" s="30"/>
      <c r="G809" s="30"/>
      <c r="H809" s="30"/>
    </row>
    <row r="810" spans="2:8">
      <c r="B810" s="152">
        <f t="shared" si="31"/>
        <v>0</v>
      </c>
      <c r="D810" s="30"/>
      <c r="E810" s="30"/>
      <c r="F810" s="30"/>
      <c r="G810" s="30"/>
      <c r="H810" s="30"/>
    </row>
    <row r="811" spans="2:8">
      <c r="B811" s="152">
        <f t="shared" si="31"/>
        <v>0</v>
      </c>
      <c r="D811" s="30"/>
      <c r="E811" s="30"/>
      <c r="F811" s="30"/>
      <c r="G811" s="30"/>
      <c r="H811" s="30"/>
    </row>
    <row r="812" spans="2:8">
      <c r="B812" s="152">
        <f t="shared" si="31"/>
        <v>0</v>
      </c>
      <c r="D812" s="30"/>
      <c r="E812" s="30"/>
      <c r="F812" s="30"/>
      <c r="G812" s="30"/>
      <c r="H812" s="30"/>
    </row>
    <row r="813" spans="2:8">
      <c r="B813" s="152">
        <f t="shared" si="31"/>
        <v>0</v>
      </c>
      <c r="D813" s="30"/>
      <c r="E813" s="30"/>
      <c r="F813" s="30"/>
      <c r="G813" s="30"/>
      <c r="H813" s="30"/>
    </row>
    <row r="814" spans="2:8">
      <c r="B814" s="152">
        <f t="shared" si="31"/>
        <v>0</v>
      </c>
      <c r="D814" s="30"/>
      <c r="E814" s="30"/>
      <c r="F814" s="30"/>
      <c r="G814" s="30"/>
      <c r="H814" s="30"/>
    </row>
    <row r="815" spans="2:8">
      <c r="B815" s="152">
        <f t="shared" si="31"/>
        <v>0</v>
      </c>
      <c r="D815" s="30"/>
      <c r="E815" s="30"/>
      <c r="F815" s="30"/>
      <c r="G815" s="30"/>
      <c r="H815" s="30"/>
    </row>
    <row r="816" spans="2:8">
      <c r="B816" s="152">
        <f t="shared" si="31"/>
        <v>0</v>
      </c>
      <c r="D816" s="30"/>
      <c r="E816" s="30"/>
      <c r="F816" s="30"/>
      <c r="G816" s="30"/>
      <c r="H816" s="30"/>
    </row>
    <row r="817" spans="2:8">
      <c r="B817" s="152">
        <f t="shared" si="31"/>
        <v>0</v>
      </c>
      <c r="D817" s="30"/>
      <c r="E817" s="30"/>
      <c r="F817" s="30"/>
      <c r="G817" s="30"/>
      <c r="H817" s="30"/>
    </row>
    <row r="818" spans="2:8">
      <c r="B818" s="152">
        <f t="shared" si="31"/>
        <v>0</v>
      </c>
      <c r="D818" s="30"/>
      <c r="E818" s="30"/>
      <c r="F818" s="30"/>
      <c r="G818" s="30"/>
      <c r="H818" s="30"/>
    </row>
    <row r="819" spans="2:8">
      <c r="B819" s="152">
        <f t="shared" si="31"/>
        <v>0</v>
      </c>
      <c r="D819" s="30"/>
      <c r="E819" s="30"/>
      <c r="F819" s="30"/>
      <c r="G819" s="30"/>
      <c r="H819" s="30"/>
    </row>
    <row r="820" spans="2:8">
      <c r="B820" s="152">
        <f t="shared" si="31"/>
        <v>0</v>
      </c>
      <c r="D820" s="30"/>
      <c r="E820" s="30"/>
      <c r="F820" s="30"/>
      <c r="G820" s="30"/>
      <c r="H820" s="30"/>
    </row>
    <row r="821" spans="2:8">
      <c r="B821" s="152">
        <f t="shared" si="31"/>
        <v>0</v>
      </c>
      <c r="D821" s="30"/>
      <c r="E821" s="30"/>
      <c r="F821" s="30"/>
      <c r="G821" s="30"/>
      <c r="H821" s="30"/>
    </row>
    <row r="822" spans="2:8">
      <c r="B822" s="152">
        <f t="shared" si="31"/>
        <v>0</v>
      </c>
      <c r="D822" s="30"/>
      <c r="E822" s="30"/>
      <c r="F822" s="30"/>
      <c r="G822" s="30"/>
      <c r="H822" s="30"/>
    </row>
    <row r="823" spans="2:8">
      <c r="B823" s="152">
        <f t="shared" si="31"/>
        <v>0</v>
      </c>
      <c r="D823" s="30"/>
      <c r="E823" s="30"/>
      <c r="F823" s="30"/>
      <c r="G823" s="30"/>
      <c r="H823" s="30"/>
    </row>
    <row r="824" spans="2:8">
      <c r="B824" s="152">
        <f t="shared" si="31"/>
        <v>0</v>
      </c>
      <c r="D824" s="30"/>
      <c r="E824" s="30"/>
      <c r="F824" s="30"/>
      <c r="G824" s="30"/>
      <c r="H824" s="30"/>
    </row>
    <row r="825" spans="2:8">
      <c r="B825" s="152">
        <f t="shared" si="31"/>
        <v>0</v>
      </c>
      <c r="D825" s="30"/>
      <c r="E825" s="30"/>
      <c r="F825" s="30"/>
      <c r="G825" s="30"/>
      <c r="H825" s="30"/>
    </row>
    <row r="826" spans="2:8">
      <c r="B826" s="152">
        <f t="shared" si="31"/>
        <v>0</v>
      </c>
      <c r="D826" s="30"/>
      <c r="E826" s="30"/>
      <c r="F826" s="30"/>
      <c r="G826" s="30"/>
      <c r="H826" s="30"/>
    </row>
    <row r="827" spans="2:8">
      <c r="B827" s="152">
        <f t="shared" si="31"/>
        <v>0</v>
      </c>
      <c r="D827" s="30"/>
      <c r="E827" s="30"/>
      <c r="F827" s="30"/>
      <c r="G827" s="30"/>
      <c r="H827" s="30"/>
    </row>
    <row r="828" spans="2:8">
      <c r="B828" s="152">
        <f t="shared" si="31"/>
        <v>0</v>
      </c>
      <c r="D828" s="30"/>
      <c r="E828" s="30"/>
      <c r="F828" s="30"/>
      <c r="G828" s="30"/>
      <c r="H828" s="30"/>
    </row>
    <row r="829" spans="2:8">
      <c r="B829" s="152">
        <f t="shared" si="31"/>
        <v>0</v>
      </c>
      <c r="D829" s="30"/>
      <c r="E829" s="30"/>
      <c r="F829" s="30"/>
      <c r="G829" s="30"/>
      <c r="H829" s="30"/>
    </row>
    <row r="830" spans="2:8">
      <c r="B830" s="152">
        <f t="shared" ref="B830:B893" si="32">B644</f>
        <v>0</v>
      </c>
      <c r="D830" s="30"/>
      <c r="E830" s="30"/>
      <c r="F830" s="30"/>
      <c r="G830" s="30"/>
      <c r="H830" s="30"/>
    </row>
    <row r="831" spans="2:8">
      <c r="B831" s="152">
        <f t="shared" si="32"/>
        <v>0</v>
      </c>
      <c r="D831" s="30"/>
      <c r="E831" s="30"/>
      <c r="F831" s="30"/>
      <c r="G831" s="30"/>
      <c r="H831" s="30"/>
    </row>
    <row r="832" spans="2:8">
      <c r="B832" s="152">
        <f t="shared" si="32"/>
        <v>0</v>
      </c>
      <c r="D832" s="30"/>
      <c r="E832" s="30"/>
      <c r="F832" s="30"/>
      <c r="G832" s="30"/>
      <c r="H832" s="30"/>
    </row>
    <row r="833" spans="2:8">
      <c r="B833" s="152">
        <f t="shared" si="32"/>
        <v>0</v>
      </c>
      <c r="D833" s="30"/>
      <c r="E833" s="30"/>
      <c r="F833" s="30"/>
      <c r="G833" s="30"/>
      <c r="H833" s="30"/>
    </row>
    <row r="834" spans="2:8">
      <c r="B834" s="152">
        <f t="shared" si="32"/>
        <v>0</v>
      </c>
      <c r="D834" s="30"/>
      <c r="E834" s="30"/>
      <c r="F834" s="30"/>
      <c r="G834" s="30"/>
      <c r="H834" s="30"/>
    </row>
    <row r="835" spans="2:8">
      <c r="B835" s="152">
        <f t="shared" si="32"/>
        <v>0</v>
      </c>
      <c r="D835" s="30"/>
      <c r="E835" s="30"/>
      <c r="F835" s="30"/>
      <c r="G835" s="30"/>
      <c r="H835" s="30"/>
    </row>
    <row r="836" spans="2:8">
      <c r="B836" s="152">
        <f t="shared" si="32"/>
        <v>0</v>
      </c>
      <c r="D836" s="30"/>
      <c r="E836" s="30"/>
      <c r="F836" s="30"/>
      <c r="G836" s="30"/>
      <c r="H836" s="30"/>
    </row>
    <row r="837" spans="2:8">
      <c r="B837" s="152">
        <f t="shared" si="32"/>
        <v>0</v>
      </c>
      <c r="D837" s="30"/>
      <c r="E837" s="30"/>
      <c r="F837" s="30"/>
      <c r="G837" s="30"/>
      <c r="H837" s="30"/>
    </row>
    <row r="838" spans="2:8">
      <c r="B838" s="152">
        <f t="shared" si="32"/>
        <v>0</v>
      </c>
      <c r="D838" s="30"/>
      <c r="E838" s="30"/>
      <c r="F838" s="30"/>
      <c r="G838" s="30"/>
      <c r="H838" s="30"/>
    </row>
    <row r="839" spans="2:8">
      <c r="B839" s="152">
        <f t="shared" si="32"/>
        <v>0</v>
      </c>
      <c r="D839" s="30"/>
      <c r="E839" s="30"/>
      <c r="F839" s="30"/>
      <c r="G839" s="30"/>
      <c r="H839" s="30"/>
    </row>
    <row r="840" spans="2:8">
      <c r="B840" s="152">
        <f t="shared" si="32"/>
        <v>0</v>
      </c>
      <c r="D840" s="30"/>
      <c r="E840" s="30"/>
      <c r="F840" s="30"/>
      <c r="G840" s="30"/>
      <c r="H840" s="30"/>
    </row>
    <row r="841" spans="2:8">
      <c r="B841" s="152">
        <f t="shared" si="32"/>
        <v>0</v>
      </c>
      <c r="D841" s="30"/>
      <c r="E841" s="30"/>
      <c r="F841" s="30"/>
      <c r="G841" s="30"/>
      <c r="H841" s="30"/>
    </row>
    <row r="842" spans="2:8">
      <c r="B842" s="152">
        <f t="shared" si="32"/>
        <v>0</v>
      </c>
      <c r="D842" s="30"/>
      <c r="E842" s="30"/>
      <c r="F842" s="30"/>
      <c r="G842" s="30"/>
      <c r="H842" s="30"/>
    </row>
    <row r="843" spans="2:8">
      <c r="B843" s="152">
        <f t="shared" si="32"/>
        <v>0</v>
      </c>
      <c r="D843" s="30"/>
      <c r="E843" s="30"/>
      <c r="F843" s="30"/>
      <c r="G843" s="30"/>
      <c r="H843" s="30"/>
    </row>
    <row r="844" spans="2:8">
      <c r="B844" s="152">
        <f t="shared" si="32"/>
        <v>0</v>
      </c>
      <c r="D844" s="30"/>
      <c r="E844" s="30"/>
      <c r="F844" s="30"/>
      <c r="G844" s="30"/>
      <c r="H844" s="30"/>
    </row>
    <row r="845" spans="2:8">
      <c r="B845" s="152">
        <f t="shared" si="32"/>
        <v>0</v>
      </c>
      <c r="D845" s="30"/>
      <c r="E845" s="30"/>
      <c r="F845" s="30"/>
      <c r="G845" s="30"/>
      <c r="H845" s="30"/>
    </row>
    <row r="846" spans="2:8">
      <c r="B846" s="152">
        <f t="shared" si="32"/>
        <v>0</v>
      </c>
      <c r="D846" s="30"/>
      <c r="E846" s="30"/>
      <c r="F846" s="30"/>
      <c r="G846" s="30"/>
      <c r="H846" s="30"/>
    </row>
    <row r="847" spans="2:8">
      <c r="B847" s="152">
        <f t="shared" si="32"/>
        <v>0</v>
      </c>
      <c r="D847" s="30"/>
      <c r="E847" s="30"/>
      <c r="F847" s="30"/>
      <c r="G847" s="30"/>
      <c r="H847" s="30"/>
    </row>
    <row r="848" spans="2:8">
      <c r="B848" s="152">
        <f t="shared" si="32"/>
        <v>0</v>
      </c>
      <c r="D848" s="30"/>
      <c r="E848" s="30"/>
      <c r="F848" s="30"/>
      <c r="G848" s="30"/>
      <c r="H848" s="30"/>
    </row>
    <row r="849" spans="2:8">
      <c r="B849" s="152">
        <f t="shared" si="32"/>
        <v>0</v>
      </c>
      <c r="D849" s="30"/>
      <c r="E849" s="30"/>
      <c r="F849" s="30"/>
      <c r="G849" s="30"/>
      <c r="H849" s="30"/>
    </row>
    <row r="850" spans="2:8">
      <c r="B850" s="152">
        <f t="shared" si="32"/>
        <v>0</v>
      </c>
      <c r="D850" s="30"/>
      <c r="E850" s="30"/>
      <c r="F850" s="30"/>
      <c r="G850" s="30"/>
      <c r="H850" s="30"/>
    </row>
    <row r="851" spans="2:8">
      <c r="B851" s="152">
        <f t="shared" si="32"/>
        <v>0</v>
      </c>
      <c r="D851" s="30"/>
      <c r="E851" s="30"/>
      <c r="F851" s="30"/>
      <c r="G851" s="30"/>
      <c r="H851" s="30"/>
    </row>
    <row r="852" spans="2:8">
      <c r="B852" s="152">
        <f t="shared" si="32"/>
        <v>0</v>
      </c>
      <c r="D852" s="30"/>
      <c r="E852" s="30"/>
      <c r="F852" s="30"/>
      <c r="G852" s="30"/>
      <c r="H852" s="30"/>
    </row>
    <row r="853" spans="2:8">
      <c r="B853" s="152">
        <f t="shared" si="32"/>
        <v>0</v>
      </c>
      <c r="D853" s="30"/>
      <c r="E853" s="30"/>
      <c r="F853" s="30"/>
      <c r="G853" s="30"/>
      <c r="H853" s="30"/>
    </row>
    <row r="854" spans="2:8">
      <c r="B854" s="152">
        <f t="shared" si="32"/>
        <v>0</v>
      </c>
      <c r="D854" s="30"/>
      <c r="E854" s="30"/>
      <c r="F854" s="30"/>
      <c r="G854" s="30"/>
      <c r="H854" s="30"/>
    </row>
    <row r="855" spans="2:8">
      <c r="B855" s="152">
        <f t="shared" si="32"/>
        <v>0</v>
      </c>
      <c r="D855" s="30"/>
      <c r="E855" s="30"/>
      <c r="F855" s="30"/>
      <c r="G855" s="30"/>
      <c r="H855" s="30"/>
    </row>
    <row r="856" spans="2:8">
      <c r="B856" s="152">
        <f t="shared" si="32"/>
        <v>0</v>
      </c>
      <c r="D856" s="30"/>
      <c r="E856" s="30"/>
      <c r="F856" s="30"/>
      <c r="G856" s="30"/>
      <c r="H856" s="30"/>
    </row>
    <row r="857" spans="2:8">
      <c r="B857" s="152">
        <f t="shared" si="32"/>
        <v>0</v>
      </c>
      <c r="D857" s="30"/>
      <c r="E857" s="30"/>
      <c r="F857" s="30"/>
      <c r="G857" s="30"/>
      <c r="H857" s="30"/>
    </row>
    <row r="858" spans="2:8">
      <c r="B858" s="152">
        <f t="shared" si="32"/>
        <v>0</v>
      </c>
      <c r="D858" s="30"/>
      <c r="E858" s="30"/>
      <c r="F858" s="30"/>
      <c r="G858" s="30"/>
      <c r="H858" s="30"/>
    </row>
    <row r="859" spans="2:8">
      <c r="B859" s="152">
        <f t="shared" si="32"/>
        <v>0</v>
      </c>
      <c r="D859" s="30"/>
      <c r="E859" s="30"/>
      <c r="F859" s="30"/>
      <c r="G859" s="30"/>
      <c r="H859" s="30"/>
    </row>
    <row r="860" spans="2:8">
      <c r="B860" s="152">
        <f t="shared" si="32"/>
        <v>0</v>
      </c>
      <c r="D860" s="30"/>
      <c r="E860" s="30"/>
      <c r="F860" s="30"/>
      <c r="G860" s="30"/>
      <c r="H860" s="30"/>
    </row>
    <row r="861" spans="2:8">
      <c r="B861" s="152">
        <f t="shared" si="32"/>
        <v>0</v>
      </c>
      <c r="D861" s="30"/>
      <c r="E861" s="30"/>
      <c r="F861" s="30"/>
      <c r="G861" s="30"/>
      <c r="H861" s="30"/>
    </row>
    <row r="862" spans="2:8">
      <c r="B862" s="152">
        <f t="shared" si="32"/>
        <v>0</v>
      </c>
      <c r="D862" s="30"/>
      <c r="E862" s="30"/>
      <c r="F862" s="30"/>
      <c r="G862" s="30"/>
      <c r="H862" s="30"/>
    </row>
    <row r="863" spans="2:8">
      <c r="B863" s="152">
        <f t="shared" si="32"/>
        <v>0</v>
      </c>
      <c r="D863" s="30"/>
      <c r="E863" s="30"/>
      <c r="F863" s="30"/>
      <c r="G863" s="30"/>
      <c r="H863" s="30"/>
    </row>
    <row r="864" spans="2:8">
      <c r="B864" s="152">
        <f t="shared" si="32"/>
        <v>0</v>
      </c>
      <c r="D864" s="30"/>
      <c r="E864" s="30"/>
      <c r="F864" s="30"/>
      <c r="G864" s="30"/>
      <c r="H864" s="30"/>
    </row>
    <row r="865" spans="2:8">
      <c r="B865" s="152">
        <f t="shared" si="32"/>
        <v>0</v>
      </c>
      <c r="D865" s="30"/>
      <c r="E865" s="30"/>
      <c r="F865" s="30"/>
      <c r="G865" s="30"/>
      <c r="H865" s="30"/>
    </row>
    <row r="866" spans="2:8">
      <c r="B866" s="152">
        <f t="shared" si="32"/>
        <v>0</v>
      </c>
      <c r="D866" s="30"/>
      <c r="E866" s="30"/>
      <c r="F866" s="30"/>
      <c r="G866" s="30"/>
      <c r="H866" s="30"/>
    </row>
    <row r="867" spans="2:8">
      <c r="B867" s="152">
        <f t="shared" si="32"/>
        <v>0</v>
      </c>
      <c r="D867" s="30"/>
      <c r="E867" s="30"/>
      <c r="F867" s="30"/>
      <c r="G867" s="30"/>
      <c r="H867" s="30"/>
    </row>
    <row r="868" spans="2:8">
      <c r="B868" s="152">
        <f t="shared" si="32"/>
        <v>0</v>
      </c>
      <c r="D868" s="30"/>
      <c r="E868" s="30"/>
      <c r="F868" s="30"/>
      <c r="G868" s="30"/>
      <c r="H868" s="30"/>
    </row>
    <row r="869" spans="2:8">
      <c r="B869" s="152">
        <f t="shared" si="32"/>
        <v>0</v>
      </c>
      <c r="D869" s="30"/>
      <c r="E869" s="30"/>
      <c r="F869" s="30"/>
      <c r="G869" s="30"/>
      <c r="H869" s="30"/>
    </row>
    <row r="870" spans="2:8">
      <c r="B870" s="152">
        <f t="shared" si="32"/>
        <v>0</v>
      </c>
      <c r="D870" s="30"/>
      <c r="E870" s="30"/>
      <c r="F870" s="30"/>
      <c r="G870" s="30"/>
      <c r="H870" s="30"/>
    </row>
    <row r="871" spans="2:8">
      <c r="B871" s="152">
        <f t="shared" si="32"/>
        <v>0</v>
      </c>
      <c r="D871" s="30"/>
      <c r="E871" s="30"/>
      <c r="F871" s="30"/>
      <c r="G871" s="30"/>
      <c r="H871" s="30"/>
    </row>
    <row r="872" spans="2:8">
      <c r="B872" s="152">
        <f t="shared" si="32"/>
        <v>0</v>
      </c>
      <c r="D872" s="30"/>
      <c r="E872" s="30"/>
      <c r="F872" s="30"/>
      <c r="G872" s="30"/>
      <c r="H872" s="30"/>
    </row>
    <row r="873" spans="2:8">
      <c r="B873" s="152">
        <f t="shared" si="32"/>
        <v>0</v>
      </c>
      <c r="D873" s="30"/>
      <c r="E873" s="30"/>
      <c r="F873" s="30"/>
      <c r="G873" s="30"/>
      <c r="H873" s="30"/>
    </row>
    <row r="874" spans="2:8">
      <c r="B874" s="152">
        <f t="shared" si="32"/>
        <v>0</v>
      </c>
      <c r="D874" s="30"/>
      <c r="E874" s="30"/>
      <c r="F874" s="30"/>
      <c r="G874" s="30"/>
      <c r="H874" s="30"/>
    </row>
    <row r="875" spans="2:8">
      <c r="B875" s="152">
        <f t="shared" si="32"/>
        <v>0</v>
      </c>
      <c r="D875" s="30"/>
      <c r="E875" s="30"/>
      <c r="F875" s="30"/>
      <c r="G875" s="30"/>
      <c r="H875" s="30"/>
    </row>
    <row r="876" spans="2:8">
      <c r="B876" s="152">
        <f t="shared" si="32"/>
        <v>0</v>
      </c>
      <c r="D876" s="30"/>
      <c r="E876" s="30"/>
      <c r="F876" s="30"/>
      <c r="G876" s="30"/>
      <c r="H876" s="30"/>
    </row>
    <row r="877" spans="2:8">
      <c r="B877" s="152">
        <f t="shared" si="32"/>
        <v>0</v>
      </c>
      <c r="D877" s="30"/>
      <c r="E877" s="30"/>
      <c r="F877" s="30"/>
      <c r="G877" s="30"/>
      <c r="H877" s="30"/>
    </row>
    <row r="878" spans="2:8">
      <c r="B878" s="152">
        <f t="shared" si="32"/>
        <v>0</v>
      </c>
      <c r="D878" s="30"/>
      <c r="E878" s="30"/>
      <c r="F878" s="30"/>
      <c r="G878" s="30"/>
      <c r="H878" s="30"/>
    </row>
    <row r="879" spans="2:8">
      <c r="B879" s="152">
        <f t="shared" si="32"/>
        <v>0</v>
      </c>
      <c r="D879" s="30"/>
      <c r="E879" s="30"/>
      <c r="F879" s="30"/>
      <c r="G879" s="30"/>
      <c r="H879" s="30"/>
    </row>
    <row r="880" spans="2:8">
      <c r="B880" s="152">
        <f t="shared" si="32"/>
        <v>0</v>
      </c>
      <c r="D880" s="30"/>
      <c r="E880" s="30"/>
      <c r="F880" s="30"/>
      <c r="G880" s="30"/>
      <c r="H880" s="30"/>
    </row>
    <row r="881" spans="2:8">
      <c r="B881" s="152">
        <f t="shared" si="32"/>
        <v>0</v>
      </c>
      <c r="D881" s="30"/>
      <c r="E881" s="30"/>
      <c r="F881" s="30"/>
      <c r="G881" s="30"/>
      <c r="H881" s="30"/>
    </row>
    <row r="882" spans="2:8">
      <c r="B882" s="152">
        <f t="shared" si="32"/>
        <v>0</v>
      </c>
      <c r="D882" s="30"/>
      <c r="E882" s="30"/>
      <c r="F882" s="30"/>
      <c r="G882" s="30"/>
      <c r="H882" s="30"/>
    </row>
    <row r="883" spans="2:8">
      <c r="B883" s="152">
        <f t="shared" si="32"/>
        <v>0</v>
      </c>
      <c r="D883" s="30"/>
      <c r="E883" s="30"/>
      <c r="F883" s="30"/>
      <c r="G883" s="30"/>
      <c r="H883" s="30"/>
    </row>
    <row r="884" spans="2:8">
      <c r="B884" s="152">
        <f t="shared" si="32"/>
        <v>0</v>
      </c>
      <c r="D884" s="30"/>
      <c r="E884" s="30"/>
      <c r="F884" s="30"/>
      <c r="G884" s="30"/>
      <c r="H884" s="30"/>
    </row>
    <row r="885" spans="2:8">
      <c r="B885" s="152">
        <f t="shared" si="32"/>
        <v>0</v>
      </c>
      <c r="D885" s="30"/>
      <c r="E885" s="30"/>
      <c r="F885" s="30"/>
      <c r="G885" s="30"/>
      <c r="H885" s="30"/>
    </row>
    <row r="886" spans="2:8">
      <c r="B886" s="152">
        <f t="shared" si="32"/>
        <v>0</v>
      </c>
      <c r="D886" s="30"/>
      <c r="E886" s="30"/>
      <c r="F886" s="30"/>
      <c r="G886" s="30"/>
      <c r="H886" s="30"/>
    </row>
    <row r="887" spans="2:8">
      <c r="B887" s="152">
        <f t="shared" si="32"/>
        <v>0</v>
      </c>
      <c r="D887" s="30"/>
      <c r="E887" s="30"/>
      <c r="F887" s="30"/>
      <c r="G887" s="30"/>
      <c r="H887" s="30"/>
    </row>
    <row r="888" spans="2:8">
      <c r="B888" s="152">
        <f t="shared" si="32"/>
        <v>0</v>
      </c>
      <c r="D888" s="30"/>
      <c r="E888" s="30"/>
      <c r="F888" s="30"/>
      <c r="G888" s="30"/>
      <c r="H888" s="30"/>
    </row>
    <row r="889" spans="2:8">
      <c r="B889" s="152">
        <f t="shared" si="32"/>
        <v>0</v>
      </c>
      <c r="D889" s="30"/>
      <c r="E889" s="30"/>
      <c r="F889" s="30"/>
      <c r="G889" s="30"/>
      <c r="H889" s="30"/>
    </row>
    <row r="890" spans="2:8">
      <c r="B890" s="152">
        <f t="shared" si="32"/>
        <v>0</v>
      </c>
      <c r="D890" s="30"/>
      <c r="E890" s="30"/>
      <c r="F890" s="30"/>
      <c r="G890" s="30"/>
      <c r="H890" s="30"/>
    </row>
    <row r="891" spans="2:8">
      <c r="B891" s="152">
        <f t="shared" si="32"/>
        <v>0</v>
      </c>
      <c r="D891" s="30"/>
      <c r="E891" s="30"/>
      <c r="F891" s="30"/>
      <c r="G891" s="30"/>
      <c r="H891" s="30"/>
    </row>
    <row r="892" spans="2:8">
      <c r="B892" s="152">
        <f t="shared" si="32"/>
        <v>0</v>
      </c>
      <c r="D892" s="30"/>
      <c r="E892" s="30"/>
      <c r="F892" s="30"/>
      <c r="G892" s="30"/>
      <c r="H892" s="30"/>
    </row>
    <row r="893" spans="2:8">
      <c r="B893" s="152">
        <f t="shared" si="32"/>
        <v>0</v>
      </c>
      <c r="D893" s="30"/>
      <c r="E893" s="30"/>
      <c r="F893" s="30"/>
      <c r="G893" s="30"/>
      <c r="H893" s="30"/>
    </row>
    <row r="894" spans="2:8">
      <c r="B894" s="152">
        <f t="shared" ref="B894:B947" si="33">B708</f>
        <v>0</v>
      </c>
      <c r="D894" s="30"/>
      <c r="E894" s="30"/>
      <c r="F894" s="30"/>
      <c r="G894" s="30"/>
      <c r="H894" s="30"/>
    </row>
    <row r="895" spans="2:8">
      <c r="B895" s="152">
        <f t="shared" si="33"/>
        <v>0</v>
      </c>
      <c r="D895" s="30"/>
      <c r="E895" s="30"/>
      <c r="F895" s="30"/>
      <c r="G895" s="30"/>
      <c r="H895" s="30"/>
    </row>
    <row r="896" spans="2:8">
      <c r="B896" s="152">
        <f t="shared" si="33"/>
        <v>0</v>
      </c>
      <c r="D896" s="30"/>
      <c r="E896" s="30"/>
      <c r="F896" s="30"/>
      <c r="G896" s="30"/>
      <c r="H896" s="30"/>
    </row>
    <row r="897" spans="2:8">
      <c r="B897" s="152">
        <f t="shared" si="33"/>
        <v>0</v>
      </c>
      <c r="D897" s="30"/>
      <c r="E897" s="30"/>
      <c r="F897" s="30"/>
      <c r="G897" s="30"/>
      <c r="H897" s="30"/>
    </row>
    <row r="898" spans="2:8">
      <c r="B898" s="152">
        <f t="shared" si="33"/>
        <v>0</v>
      </c>
      <c r="D898" s="30"/>
      <c r="E898" s="30"/>
      <c r="F898" s="30"/>
      <c r="G898" s="30"/>
      <c r="H898" s="30"/>
    </row>
    <row r="899" spans="2:8">
      <c r="B899" s="152">
        <f t="shared" si="33"/>
        <v>0</v>
      </c>
      <c r="D899" s="30"/>
      <c r="E899" s="30"/>
      <c r="F899" s="30"/>
      <c r="G899" s="30"/>
      <c r="H899" s="30"/>
    </row>
    <row r="900" spans="2:8">
      <c r="B900" s="152">
        <f t="shared" si="33"/>
        <v>0</v>
      </c>
      <c r="D900" s="30"/>
      <c r="E900" s="30"/>
      <c r="F900" s="30"/>
      <c r="G900" s="30"/>
      <c r="H900" s="30"/>
    </row>
    <row r="901" spans="2:8">
      <c r="B901" s="152">
        <f t="shared" si="33"/>
        <v>0</v>
      </c>
      <c r="D901" s="30"/>
      <c r="E901" s="30"/>
      <c r="F901" s="30"/>
      <c r="G901" s="30"/>
      <c r="H901" s="30"/>
    </row>
    <row r="902" spans="2:8">
      <c r="B902" s="152">
        <f t="shared" si="33"/>
        <v>0</v>
      </c>
      <c r="D902" s="30"/>
      <c r="E902" s="30"/>
      <c r="F902" s="30"/>
      <c r="G902" s="30"/>
      <c r="H902" s="30"/>
    </row>
    <row r="903" spans="2:8">
      <c r="B903" s="152">
        <f t="shared" si="33"/>
        <v>0</v>
      </c>
      <c r="D903" s="30"/>
      <c r="E903" s="30"/>
      <c r="F903" s="30"/>
      <c r="G903" s="30"/>
      <c r="H903" s="30"/>
    </row>
    <row r="904" spans="2:8">
      <c r="B904" s="152">
        <f t="shared" si="33"/>
        <v>0</v>
      </c>
      <c r="D904" s="30"/>
      <c r="E904" s="30"/>
      <c r="F904" s="30"/>
      <c r="G904" s="30"/>
      <c r="H904" s="30"/>
    </row>
    <row r="905" spans="2:8">
      <c r="B905" s="152">
        <f t="shared" si="33"/>
        <v>0</v>
      </c>
      <c r="D905" s="30"/>
      <c r="E905" s="30"/>
      <c r="F905" s="30"/>
      <c r="G905" s="30"/>
      <c r="H905" s="30"/>
    </row>
    <row r="906" spans="2:8">
      <c r="B906" s="152">
        <f t="shared" si="33"/>
        <v>0</v>
      </c>
      <c r="D906" s="30"/>
      <c r="E906" s="30"/>
      <c r="F906" s="30"/>
      <c r="G906" s="30"/>
      <c r="H906" s="30"/>
    </row>
    <row r="907" spans="2:8">
      <c r="B907" s="152">
        <f t="shared" si="33"/>
        <v>0</v>
      </c>
      <c r="D907" s="30"/>
      <c r="E907" s="30"/>
      <c r="F907" s="30"/>
      <c r="G907" s="30"/>
      <c r="H907" s="30"/>
    </row>
    <row r="908" spans="2:8">
      <c r="B908" s="152">
        <f t="shared" si="33"/>
        <v>0</v>
      </c>
      <c r="D908" s="30"/>
      <c r="E908" s="30"/>
      <c r="F908" s="30"/>
      <c r="G908" s="30"/>
      <c r="H908" s="30"/>
    </row>
    <row r="909" spans="2:8">
      <c r="B909" s="152">
        <f t="shared" si="33"/>
        <v>0</v>
      </c>
      <c r="D909" s="30"/>
      <c r="E909" s="30"/>
      <c r="F909" s="30"/>
      <c r="G909" s="30"/>
      <c r="H909" s="30"/>
    </row>
    <row r="910" spans="2:8">
      <c r="B910" s="152">
        <f t="shared" si="33"/>
        <v>0</v>
      </c>
      <c r="D910" s="30"/>
      <c r="E910" s="30"/>
      <c r="F910" s="30"/>
      <c r="G910" s="30"/>
      <c r="H910" s="30"/>
    </row>
    <row r="911" spans="2:8">
      <c r="B911" s="152">
        <f t="shared" si="33"/>
        <v>0</v>
      </c>
      <c r="D911" s="30"/>
      <c r="E911" s="30"/>
      <c r="F911" s="30"/>
      <c r="G911" s="30"/>
      <c r="H911" s="30"/>
    </row>
    <row r="912" spans="2:8">
      <c r="B912" s="152">
        <f t="shared" si="33"/>
        <v>0</v>
      </c>
      <c r="D912" s="30"/>
      <c r="E912" s="30"/>
      <c r="F912" s="30"/>
      <c r="G912" s="30"/>
      <c r="H912" s="30"/>
    </row>
    <row r="913" spans="2:8">
      <c r="B913" s="152">
        <f t="shared" si="33"/>
        <v>0</v>
      </c>
      <c r="D913" s="30"/>
      <c r="E913" s="30"/>
      <c r="F913" s="30"/>
      <c r="G913" s="30"/>
      <c r="H913" s="30"/>
    </row>
    <row r="914" spans="2:8">
      <c r="B914" s="152">
        <f t="shared" si="33"/>
        <v>0</v>
      </c>
      <c r="D914" s="30"/>
      <c r="E914" s="30"/>
      <c r="F914" s="30"/>
      <c r="G914" s="30"/>
      <c r="H914" s="30"/>
    </row>
    <row r="915" spans="2:8">
      <c r="B915" s="152">
        <f t="shared" si="33"/>
        <v>0</v>
      </c>
      <c r="D915" s="30"/>
      <c r="E915" s="30"/>
      <c r="F915" s="30"/>
      <c r="G915" s="30"/>
      <c r="H915" s="30"/>
    </row>
    <row r="916" spans="2:8">
      <c r="B916" s="152">
        <f t="shared" si="33"/>
        <v>0</v>
      </c>
      <c r="D916" s="30"/>
      <c r="E916" s="30"/>
      <c r="F916" s="30"/>
      <c r="G916" s="30"/>
      <c r="H916" s="30"/>
    </row>
    <row r="917" spans="2:8">
      <c r="B917" s="152">
        <f t="shared" si="33"/>
        <v>0</v>
      </c>
      <c r="D917" s="30"/>
      <c r="E917" s="30"/>
      <c r="F917" s="30"/>
      <c r="G917" s="30"/>
      <c r="H917" s="30"/>
    </row>
    <row r="918" spans="2:8">
      <c r="B918" s="152">
        <f t="shared" si="33"/>
        <v>0</v>
      </c>
      <c r="D918" s="30"/>
      <c r="E918" s="30"/>
      <c r="F918" s="30"/>
      <c r="G918" s="30"/>
      <c r="H918" s="30"/>
    </row>
    <row r="919" spans="2:8">
      <c r="B919" s="152">
        <f t="shared" si="33"/>
        <v>0</v>
      </c>
      <c r="D919" s="30"/>
      <c r="E919" s="30"/>
      <c r="F919" s="30"/>
      <c r="G919" s="30"/>
      <c r="H919" s="30"/>
    </row>
    <row r="920" spans="2:8">
      <c r="B920" s="152">
        <f t="shared" si="33"/>
        <v>0</v>
      </c>
      <c r="D920" s="30"/>
      <c r="E920" s="30"/>
      <c r="F920" s="30"/>
      <c r="G920" s="30"/>
      <c r="H920" s="30"/>
    </row>
    <row r="921" spans="2:8">
      <c r="B921" s="152">
        <f t="shared" si="33"/>
        <v>0</v>
      </c>
      <c r="D921" s="30"/>
      <c r="E921" s="30"/>
      <c r="F921" s="30"/>
      <c r="G921" s="30"/>
      <c r="H921" s="30"/>
    </row>
    <row r="922" spans="2:8">
      <c r="B922" s="152">
        <f t="shared" si="33"/>
        <v>0</v>
      </c>
      <c r="D922" s="30"/>
      <c r="E922" s="30"/>
      <c r="F922" s="30"/>
      <c r="G922" s="30"/>
      <c r="H922" s="30"/>
    </row>
    <row r="923" spans="2:8">
      <c r="B923" s="152">
        <f t="shared" si="33"/>
        <v>0</v>
      </c>
      <c r="D923" s="30"/>
      <c r="E923" s="30"/>
      <c r="F923" s="30"/>
      <c r="G923" s="30"/>
      <c r="H923" s="30"/>
    </row>
    <row r="924" spans="2:8">
      <c r="B924" s="152">
        <f t="shared" si="33"/>
        <v>0</v>
      </c>
      <c r="D924" s="30"/>
      <c r="E924" s="30"/>
      <c r="F924" s="30"/>
      <c r="G924" s="30"/>
      <c r="H924" s="30"/>
    </row>
    <row r="925" spans="2:8">
      <c r="B925" s="152">
        <f t="shared" si="33"/>
        <v>0</v>
      </c>
      <c r="D925" s="30"/>
      <c r="E925" s="30"/>
      <c r="F925" s="30"/>
      <c r="G925" s="30"/>
      <c r="H925" s="30"/>
    </row>
    <row r="926" spans="2:8">
      <c r="B926" s="152">
        <f t="shared" si="33"/>
        <v>0</v>
      </c>
      <c r="D926" s="30"/>
      <c r="E926" s="30"/>
      <c r="F926" s="30"/>
      <c r="G926" s="30"/>
      <c r="H926" s="30"/>
    </row>
    <row r="927" spans="2:8">
      <c r="B927" s="152">
        <f t="shared" si="33"/>
        <v>0</v>
      </c>
      <c r="D927" s="30"/>
      <c r="E927" s="30"/>
      <c r="F927" s="30"/>
      <c r="G927" s="30"/>
      <c r="H927" s="30"/>
    </row>
    <row r="928" spans="2:8">
      <c r="B928" s="152">
        <f t="shared" si="33"/>
        <v>0</v>
      </c>
      <c r="D928" s="30"/>
      <c r="E928" s="30"/>
      <c r="F928" s="30"/>
      <c r="G928" s="30"/>
      <c r="H928" s="30"/>
    </row>
    <row r="929" spans="2:8">
      <c r="B929" s="152">
        <f t="shared" si="33"/>
        <v>0</v>
      </c>
      <c r="D929" s="30"/>
      <c r="E929" s="30"/>
      <c r="F929" s="30"/>
      <c r="G929" s="30"/>
      <c r="H929" s="30"/>
    </row>
    <row r="930" spans="2:8">
      <c r="B930" s="152">
        <f t="shared" si="33"/>
        <v>0</v>
      </c>
      <c r="D930" s="30"/>
      <c r="E930" s="30"/>
      <c r="F930" s="30"/>
      <c r="G930" s="30"/>
      <c r="H930" s="30"/>
    </row>
    <row r="931" spans="2:8">
      <c r="B931" s="152">
        <f t="shared" si="33"/>
        <v>0</v>
      </c>
      <c r="D931" s="30"/>
      <c r="E931" s="30"/>
      <c r="F931" s="30"/>
      <c r="G931" s="30"/>
      <c r="H931" s="30"/>
    </row>
    <row r="932" spans="2:8">
      <c r="B932" s="152">
        <f t="shared" si="33"/>
        <v>0</v>
      </c>
      <c r="D932" s="30"/>
      <c r="E932" s="30"/>
      <c r="F932" s="30"/>
      <c r="G932" s="30"/>
      <c r="H932" s="30"/>
    </row>
    <row r="933" spans="2:8">
      <c r="B933" s="152">
        <f t="shared" si="33"/>
        <v>0</v>
      </c>
      <c r="D933" s="30"/>
      <c r="E933" s="30"/>
      <c r="F933" s="30"/>
      <c r="G933" s="30"/>
      <c r="H933" s="30"/>
    </row>
    <row r="934" spans="2:8">
      <c r="B934" s="152">
        <f t="shared" si="33"/>
        <v>0</v>
      </c>
      <c r="D934" s="30"/>
      <c r="E934" s="30"/>
      <c r="F934" s="30"/>
      <c r="G934" s="30"/>
      <c r="H934" s="30"/>
    </row>
    <row r="935" spans="2:8">
      <c r="B935" s="152">
        <f t="shared" si="33"/>
        <v>0</v>
      </c>
      <c r="D935" s="30"/>
      <c r="E935" s="30"/>
      <c r="F935" s="30"/>
      <c r="G935" s="30"/>
      <c r="H935" s="30"/>
    </row>
    <row r="936" spans="2:8">
      <c r="B936" s="152">
        <f t="shared" si="33"/>
        <v>0</v>
      </c>
      <c r="D936" s="30"/>
      <c r="E936" s="30"/>
      <c r="F936" s="30"/>
      <c r="G936" s="30"/>
      <c r="H936" s="30"/>
    </row>
    <row r="937" spans="2:8">
      <c r="B937" s="152">
        <f t="shared" si="33"/>
        <v>0</v>
      </c>
      <c r="D937" s="30"/>
      <c r="E937" s="30"/>
      <c r="F937" s="30"/>
      <c r="G937" s="30"/>
      <c r="H937" s="30"/>
    </row>
    <row r="938" spans="2:8">
      <c r="B938" s="152">
        <f t="shared" si="33"/>
        <v>0</v>
      </c>
      <c r="D938" s="30"/>
      <c r="E938" s="30"/>
      <c r="F938" s="30"/>
      <c r="G938" s="30"/>
      <c r="H938" s="30"/>
    </row>
    <row r="939" spans="2:8">
      <c r="B939" s="152">
        <f t="shared" si="33"/>
        <v>0</v>
      </c>
      <c r="D939" s="30"/>
      <c r="E939" s="30"/>
      <c r="F939" s="30"/>
      <c r="G939" s="30"/>
      <c r="H939" s="30"/>
    </row>
    <row r="940" spans="2:8">
      <c r="B940" s="152">
        <f t="shared" si="33"/>
        <v>0</v>
      </c>
      <c r="D940" s="30"/>
      <c r="E940" s="30"/>
      <c r="F940" s="30"/>
      <c r="G940" s="30"/>
      <c r="H940" s="30"/>
    </row>
    <row r="941" spans="2:8">
      <c r="B941" s="152">
        <f t="shared" si="33"/>
        <v>0</v>
      </c>
      <c r="D941" s="30"/>
      <c r="E941" s="30"/>
      <c r="F941" s="30"/>
      <c r="G941" s="30"/>
      <c r="H941" s="30"/>
    </row>
    <row r="942" spans="2:8">
      <c r="B942" s="152">
        <f t="shared" si="33"/>
        <v>0</v>
      </c>
      <c r="D942" s="30"/>
      <c r="E942" s="30"/>
      <c r="F942" s="30"/>
      <c r="G942" s="30"/>
      <c r="H942" s="30"/>
    </row>
    <row r="943" spans="2:8">
      <c r="B943" s="152">
        <f t="shared" si="33"/>
        <v>0</v>
      </c>
      <c r="D943" s="30"/>
      <c r="E943" s="30"/>
      <c r="F943" s="30"/>
      <c r="G943" s="30"/>
      <c r="H943" s="30"/>
    </row>
    <row r="944" spans="2:8">
      <c r="B944" s="152">
        <f t="shared" si="33"/>
        <v>0</v>
      </c>
      <c r="D944" s="30"/>
      <c r="E944" s="30"/>
      <c r="F944" s="30"/>
      <c r="G944" s="30"/>
      <c r="H944" s="30"/>
    </row>
    <row r="945" spans="2:8">
      <c r="B945" s="152">
        <f t="shared" si="33"/>
        <v>0</v>
      </c>
      <c r="D945" s="30"/>
      <c r="E945" s="30"/>
      <c r="F945" s="30"/>
      <c r="G945" s="30"/>
      <c r="H945" s="30"/>
    </row>
    <row r="946" spans="2:8">
      <c r="B946" s="2" t="str">
        <f t="shared" si="33"/>
        <v>Carndo Year 4 Reduction</v>
      </c>
      <c r="D946" s="30"/>
      <c r="E946" s="30"/>
      <c r="F946" s="30"/>
      <c r="G946" s="30"/>
      <c r="H946" s="30"/>
    </row>
    <row r="947" spans="2:8">
      <c r="B947" s="2" t="str">
        <f t="shared" si="33"/>
        <v>Carndo Year 5 Reduction</v>
      </c>
      <c r="D947" s="30"/>
      <c r="E947" s="30"/>
      <c r="F947" s="30"/>
      <c r="G947" s="30"/>
      <c r="H947" s="30"/>
    </row>
    <row r="948" spans="2:8">
      <c r="B948" s="2" t="s">
        <v>53</v>
      </c>
      <c r="D948" s="48">
        <f>SUM(D765:D947)</f>
        <v>0</v>
      </c>
      <c r="E948" s="48">
        <f>SUM(E765:E947)</f>
        <v>0</v>
      </c>
      <c r="F948" s="48">
        <f>SUM(F765:F947)</f>
        <v>0</v>
      </c>
      <c r="G948" s="48">
        <f>SUM(G765:G947)</f>
        <v>0</v>
      </c>
      <c r="H948" s="48">
        <f>SUM(H765:H947)</f>
        <v>0</v>
      </c>
    </row>
    <row r="949" spans="2:8">
      <c r="D949" s="70"/>
      <c r="E949" s="70"/>
      <c r="F949" s="70"/>
      <c r="G949" s="70"/>
      <c r="H949" s="70"/>
    </row>
    <row r="950" spans="2:8" ht="15.75">
      <c r="B950" s="10" t="s">
        <v>13</v>
      </c>
      <c r="D950" s="30"/>
      <c r="E950" s="30"/>
      <c r="F950" s="30"/>
      <c r="G950" s="30"/>
      <c r="H950" s="30"/>
    </row>
    <row r="951" spans="2:8">
      <c r="B951" s="152">
        <f>B765</f>
        <v>0</v>
      </c>
      <c r="D951" s="30">
        <f>IF(D21&lt;1,-(D207+D393+D579+D765),-(D207+D393+'3. General Model Inputs'!$D$53*D579+D765)/D21)</f>
        <v>-1379.5105416666665</v>
      </c>
      <c r="E951" s="30">
        <f>IF(E21&lt;1,-(E207+E393+E579+E765),-(E207+E393+'3. General Model Inputs'!$D$53*E579+E765)/E21)</f>
        <v>-2782.4026179378525</v>
      </c>
      <c r="F951" s="30">
        <f>IF(F21&lt;1,-(F207+F393+F579+F765),-(F207+F393+'3. General Model Inputs'!$D$53*F579+F765)/F21)</f>
        <v>-2782.4026179378525</v>
      </c>
      <c r="G951" s="30">
        <f>IF(G21&lt;1,-(G207+G393+G579+G765),-(G207+G393+'3. General Model Inputs'!$D$53*G579+G765)/G21)</f>
        <v>-2782.4026179378525</v>
      </c>
      <c r="H951" s="30">
        <f>IF(H21&lt;1,-(H207+H393+H579+H765),-(H207+H393+'3. General Model Inputs'!$D$53*H579+H765)/H21)</f>
        <v>-2782.4026179378525</v>
      </c>
    </row>
    <row r="952" spans="2:8">
      <c r="B952" s="152">
        <f t="shared" ref="B952:B1015" si="34">B766</f>
        <v>0</v>
      </c>
      <c r="D952" s="30">
        <f>IF(D22&lt;1,-(D208+D394+D580+D766),-(D208+D394+'3. General Model Inputs'!$D$53*D580+D766)/D22)</f>
        <v>0</v>
      </c>
      <c r="E952" s="30">
        <f>IF(E22&lt;1,-(E208+E394+E580+E766),-(E208+E394+'3. General Model Inputs'!$D$53*E580+E766)/E22)</f>
        <v>-4241.5472916666668</v>
      </c>
      <c r="F952" s="30">
        <f>IF(F22&lt;1,-(F208+F394+F580+F766),-(F208+F394+'3. General Model Inputs'!$D$53*F580+F766)/F22)</f>
        <v>-8554.9852153954798</v>
      </c>
      <c r="G952" s="30">
        <f>IF(G22&lt;1,-(G208+G394+G580+G766),-(G208+G394+'3. General Model Inputs'!$D$53*G580+G766)/G22)</f>
        <v>-8554.9852153954798</v>
      </c>
      <c r="H952" s="30">
        <f>IF(H22&lt;1,-(H208+H394+H580+H766),-(H208+H394+'3. General Model Inputs'!$D$53*H580+H766)/H22)</f>
        <v>-8554.9852153954798</v>
      </c>
    </row>
    <row r="953" spans="2:8">
      <c r="B953" s="152">
        <f t="shared" si="34"/>
        <v>0</v>
      </c>
      <c r="D953" s="30">
        <f>IF(D23&lt;1,-(D209+D395+D581+D767),-(D209+D395+'3. General Model Inputs'!$D$53*D581+D767)/D23)</f>
        <v>0</v>
      </c>
      <c r="E953" s="30">
        <f>IF(E23&lt;1,-(E209+E395+E581+E767),-(E209+E395+'3. General Model Inputs'!$D$53*E581+E767)/E23)</f>
        <v>0</v>
      </c>
      <c r="F953" s="30">
        <f>IF(F23&lt;1,-(F209+F395+F581+F767),-(F209+F395+'3. General Model Inputs'!$D$53*F581+F767)/F23)</f>
        <v>-878.61249999999995</v>
      </c>
      <c r="G953" s="30">
        <f>IF(G23&lt;1,-(G209+G395+G581+G767),-(G209+G395+'3. General Model Inputs'!$D$53*G581+G767)/G23)</f>
        <v>-1772.1167372881355</v>
      </c>
      <c r="H953" s="30">
        <f>IF(H23&lt;1,-(H209+H395+H581+H767),-(H209+H395+'3. General Model Inputs'!$D$53*H581+H767)/H23)</f>
        <v>-1772.1167372881357</v>
      </c>
    </row>
    <row r="954" spans="2:8">
      <c r="B954" s="152">
        <f t="shared" si="34"/>
        <v>0</v>
      </c>
      <c r="D954" s="30">
        <f>IF(D24&lt;1,-(D210+D396+D582+D768),-(D210+D396+'3. General Model Inputs'!$D$53*D582+D768)/D24)</f>
        <v>-3277.184666666667</v>
      </c>
      <c r="E954" s="30">
        <f>IF(E24&lt;1,-(E210+E396+E582+E768),-(E210+E396+'3. General Model Inputs'!$D$53*E582+E768)/E24)</f>
        <v>-6788.4539523809526</v>
      </c>
      <c r="F954" s="30">
        <f>IF(F24&lt;1,-(F210+F396+F582+F768),-(F210+F396+'3. General Model Inputs'!$D$53*F582+F768)/F24)</f>
        <v>-6788.4539523809526</v>
      </c>
      <c r="G954" s="30">
        <f>IF(G24&lt;1,-(G210+G396+G582+G768),-(G210+G396+'3. General Model Inputs'!$D$53*G582+G768)/G24)</f>
        <v>-6788.4539523809535</v>
      </c>
      <c r="H954" s="30">
        <f>IF(H24&lt;1,-(H210+H396+H582+H768),-(H210+H396+'3. General Model Inputs'!$D$53*H582+H768)/H24)</f>
        <v>-6788.4539523809535</v>
      </c>
    </row>
    <row r="955" spans="2:8">
      <c r="B955" s="152">
        <f t="shared" si="34"/>
        <v>0</v>
      </c>
      <c r="D955" s="30">
        <f>IF(D25&lt;1,-(D211+D397+D583+D769),-(D211+D397+'3. General Model Inputs'!$D$53*D583+D769)/D25)</f>
        <v>0</v>
      </c>
      <c r="E955" s="30">
        <f>IF(E25&lt;1,-(E211+E397+E583+E769),-(E211+E397+'3. General Model Inputs'!$D$53*E583+E769)/E25)</f>
        <v>-140.96983333333336</v>
      </c>
      <c r="F955" s="30">
        <f>IF(F25&lt;1,-(F211+F397+F583+F769),-(F211+F397+'3. General Model Inputs'!$D$53*F583+F769)/F25)</f>
        <v>-292.0089404761905</v>
      </c>
      <c r="G955" s="30">
        <f>IF(G25&lt;1,-(G211+G397+G583+G769),-(G211+G397+'3. General Model Inputs'!$D$53*G583+G769)/G25)</f>
        <v>-292.00894047619045</v>
      </c>
      <c r="H955" s="30">
        <f>IF(H25&lt;1,-(H211+H397+H583+H769),-(H211+H397+'3. General Model Inputs'!$D$53*H583+H769)/H25)</f>
        <v>-292.00894047619045</v>
      </c>
    </row>
    <row r="956" spans="2:8">
      <c r="B956" s="152">
        <f t="shared" si="34"/>
        <v>0</v>
      </c>
      <c r="D956" s="30">
        <f>IF(D26&lt;1,-(D212+D398+D584+D770),-(D212+D398+'3. General Model Inputs'!$D$53*D584+D770)/D26)</f>
        <v>-2276.4683333333332</v>
      </c>
      <c r="E956" s="30">
        <f>IF(E26&lt;1,-(E212+E398+E584+E770),-(E212+E398+'3. General Model Inputs'!$D$53*E584+E770)/E26)</f>
        <v>-4591.5208757062146</v>
      </c>
      <c r="F956" s="30">
        <f>IF(F26&lt;1,-(F212+F398+F584+F770),-(F212+F398+'3. General Model Inputs'!$D$53*F584+F770)/F26)</f>
        <v>-4591.5208757062146</v>
      </c>
      <c r="G956" s="30">
        <f>IF(G26&lt;1,-(G212+G398+G584+G770),-(G212+G398+'3. General Model Inputs'!$D$53*G584+G770)/G26)</f>
        <v>-4591.5208757062146</v>
      </c>
      <c r="H956" s="30">
        <f>IF(H26&lt;1,-(H212+H398+H584+H770),-(H212+H398+'3. General Model Inputs'!$D$53*H584+H770)/H26)</f>
        <v>-4591.5208757062146</v>
      </c>
    </row>
    <row r="957" spans="2:8">
      <c r="B957" s="152">
        <f t="shared" si="34"/>
        <v>0</v>
      </c>
      <c r="D957" s="30">
        <f>IF(D27&lt;1,-(D213+D399+D585+D771),-(D213+D399+'3. General Model Inputs'!$D$53*D585+D771)/D27)</f>
        <v>0</v>
      </c>
      <c r="E957" s="30">
        <f>IF(E27&lt;1,-(E213+E399+E585+E771),-(E213+E399+'3. General Model Inputs'!$D$53*E585+E771)/E27)</f>
        <v>-15301.279111111111</v>
      </c>
      <c r="F957" s="30">
        <f>IF(F27&lt;1,-(F213+F399+F585+F771),-(F213+F399+'3. General Model Inputs'!$D$53*F585+F771)/F27)</f>
        <v>-30861.901935969869</v>
      </c>
      <c r="G957" s="30">
        <f>IF(G27&lt;1,-(G213+G399+G585+G771),-(G213+G399+'3. General Model Inputs'!$D$53*G585+G771)/G27)</f>
        <v>-30861.901935969869</v>
      </c>
      <c r="H957" s="30">
        <f>IF(H27&lt;1,-(H213+H399+H585+H771),-(H213+H399+'3. General Model Inputs'!$D$53*H585+H771)/H27)</f>
        <v>-30861.901935969869</v>
      </c>
    </row>
    <row r="958" spans="2:8">
      <c r="B958" s="152">
        <f t="shared" si="34"/>
        <v>0</v>
      </c>
      <c r="D958" s="30">
        <f>IF(D28&lt;1,-(D214+D400+D586+D772),-(D214+D400+'3. General Model Inputs'!$D$53*D586+D772)/D28)</f>
        <v>0</v>
      </c>
      <c r="E958" s="30">
        <f>IF(E28&lt;1,-(E214+E400+E586+E772),-(E214+E400+'3. General Model Inputs'!$D$53*E586+E772)/E28)</f>
        <v>0</v>
      </c>
      <c r="F958" s="30">
        <f>IF(F28&lt;1,-(F214+F400+F586+F772),-(F214+F400+'3. General Model Inputs'!$D$53*F586+F772)/F28)</f>
        <v>-36250</v>
      </c>
      <c r="G958" s="30">
        <f>IF(G28&lt;1,-(G214+G400+G586+G772),-(G214+G400+'3. General Model Inputs'!$D$53*G586+G772)/G28)</f>
        <v>-73114.406779661018</v>
      </c>
      <c r="H958" s="30">
        <f>IF(H28&lt;1,-(H214+H400+H586+H772),-(H214+H400+'3. General Model Inputs'!$D$53*H586+H772)/H28)</f>
        <v>-73114.406779661018</v>
      </c>
    </row>
    <row r="959" spans="2:8">
      <c r="B959" s="152">
        <f t="shared" si="34"/>
        <v>0</v>
      </c>
      <c r="D959" s="30">
        <f>IF(D29&lt;1,-(D215+D401+D587+D773),-(D215+D401+'3. General Model Inputs'!$D$53*D587+D773)/D29)</f>
        <v>0</v>
      </c>
      <c r="E959" s="30">
        <f>IF(E29&lt;1,-(E215+E401+E587+E773),-(E215+E401+'3. General Model Inputs'!$D$53*E587+E773)/E29)</f>
        <v>0</v>
      </c>
      <c r="F959" s="30">
        <f>IF(F29&lt;1,-(F215+F401+F587+F773),-(F215+F401+'3. General Model Inputs'!$D$53*F587+F773)/F29)</f>
        <v>-4348.7238508806704</v>
      </c>
      <c r="G959" s="30">
        <f>IF(G29&lt;1,-(G215+G401+G587+G773),-(G215+G401+'3. General Model Inputs'!$D$53*G587+G773)/G29)</f>
        <v>-8771.1548856745721</v>
      </c>
      <c r="H959" s="30">
        <f>IF(H29&lt;1,-(H215+H401+H587+H773),-(H215+H401+'3. General Model Inputs'!$D$53*H587+H773)/H29)</f>
        <v>-8771.1548856745703</v>
      </c>
    </row>
    <row r="960" spans="2:8">
      <c r="B960" s="152">
        <f t="shared" si="34"/>
        <v>0</v>
      </c>
      <c r="D960" s="30">
        <f>IF(D30&lt;1,-(D216+D402+D588+D774),-(D216+D402+'3. General Model Inputs'!$D$53*D588+D774)/D30)</f>
        <v>0</v>
      </c>
      <c r="E960" s="30">
        <f>IF(E30&lt;1,-(E216+E402+E588+E774),-(E216+E402+'3. General Model Inputs'!$D$53*E588+E774)/E30)</f>
        <v>0</v>
      </c>
      <c r="F960" s="30">
        <f>IF(F30&lt;1,-(F216+F402+F588+F774),-(F216+F402+'3. General Model Inputs'!$D$53*F588+F774)/F30)</f>
        <v>0</v>
      </c>
      <c r="G960" s="30">
        <f>IF(G30&lt;1,-(G216+G402+G588+G774),-(G216+G402+'3. General Model Inputs'!$D$53*G588+G774)/G30)</f>
        <v>-22309.515314799577</v>
      </c>
      <c r="H960" s="30">
        <f>IF(H30&lt;1,-(H216+H402+H588+H774),-(H216+H402+'3. General Model Inputs'!$D$53*H588+H774)/H30)</f>
        <v>-44997.158007816099</v>
      </c>
    </row>
    <row r="961" spans="2:8">
      <c r="B961" s="152">
        <f t="shared" si="34"/>
        <v>0</v>
      </c>
      <c r="D961" s="30">
        <f>IF(D31&lt;1,-(D217+D403+D589+D775),-(D217+D403+'3. General Model Inputs'!$D$53*D589+D775)/D31)</f>
        <v>0</v>
      </c>
      <c r="E961" s="30">
        <f>IF(E31&lt;1,-(E217+E403+E589+E775),-(E217+E403+'3. General Model Inputs'!$D$53*E589+E775)/E31)</f>
        <v>0</v>
      </c>
      <c r="F961" s="30">
        <f>IF(F31&lt;1,-(F217+F403+F589+F775),-(F217+F403+'3. General Model Inputs'!$D$53*F589+F775)/F31)</f>
        <v>0</v>
      </c>
      <c r="G961" s="30">
        <f>IF(G31&lt;1,-(G217+G403+G589+G775),-(G217+G403+'3. General Model Inputs'!$D$53*G589+G775)/G31)</f>
        <v>0</v>
      </c>
      <c r="H961" s="30">
        <f>IF(H31&lt;1,-(H217+H403+H589+H775),-(H217+H403+'3. General Model Inputs'!$D$53*H589+H775)/H31)</f>
        <v>-99023.132607495034</v>
      </c>
    </row>
    <row r="962" spans="2:8">
      <c r="B962" s="152">
        <f t="shared" si="34"/>
        <v>0</v>
      </c>
      <c r="D962" s="30">
        <f>IF(D32&lt;1,-(D218+D404+D590+D776),-(D218+D404+'3. General Model Inputs'!$D$53*D590+D776)/D32)</f>
        <v>-3014.8560625000005</v>
      </c>
      <c r="E962" s="30">
        <f>IF(E32&lt;1,-(E218+E404+E590+E776),-(E218+E404+'3. General Model Inputs'!$D$53*E590+E776)/E32)</f>
        <v>-6067.8748599683558</v>
      </c>
      <c r="F962" s="30">
        <f>IF(F32&lt;1,-(F218+F404+F590+F776),-(F218+F404+'3. General Model Inputs'!$D$53*F590+F776)/F32)</f>
        <v>-6067.8748599683558</v>
      </c>
      <c r="G962" s="30">
        <f>IF(G32&lt;1,-(G218+G404+G590+G776),-(G218+G404+'3. General Model Inputs'!$D$53*G590+G776)/G32)</f>
        <v>-6067.8748599683549</v>
      </c>
      <c r="H962" s="30">
        <f>IF(H32&lt;1,-(H218+H404+H590+H776),-(H218+H404+'3. General Model Inputs'!$D$53*H590+H776)/H32)</f>
        <v>-6067.8748599683549</v>
      </c>
    </row>
    <row r="963" spans="2:8">
      <c r="B963" s="152">
        <f t="shared" si="34"/>
        <v>0</v>
      </c>
      <c r="D963" s="30">
        <f>IF(D33&lt;1,-(D219+D405+D591+D777),-(D219+D405+'3. General Model Inputs'!$D$53*D591+D777)/D33)</f>
        <v>0</v>
      </c>
      <c r="E963" s="30">
        <f>IF(E33&lt;1,-(E219+E405+E591+E777),-(E219+E405+'3. General Model Inputs'!$D$53*E591+E777)/E33)</f>
        <v>-2569.1991250000001</v>
      </c>
      <c r="F963" s="30">
        <f>IF(F33&lt;1,-(F219+F405+F591+F777),-(F219+F405+'3. General Model Inputs'!$D$53*F591+F777)/F33)</f>
        <v>-5170.9197579113925</v>
      </c>
      <c r="G963" s="30">
        <f>IF(G33&lt;1,-(G219+G405+G591+G777),-(G219+G405+'3. General Model Inputs'!$D$53*G591+G777)/G33)</f>
        <v>-5170.9197579113925</v>
      </c>
      <c r="H963" s="30">
        <f>IF(H33&lt;1,-(H219+H405+H591+H777),-(H219+H405+'3. General Model Inputs'!$D$53*H591+H777)/H33)</f>
        <v>-5170.9197579113916</v>
      </c>
    </row>
    <row r="964" spans="2:8">
      <c r="B964" s="152">
        <f t="shared" si="34"/>
        <v>0</v>
      </c>
      <c r="D964" s="30">
        <f>IF(D34&lt;1,-(D220+D406+D592+D778),-(D220+D406+'3. General Model Inputs'!$D$53*D592+D778)/D34)</f>
        <v>0</v>
      </c>
      <c r="E964" s="30">
        <f>IF(E34&lt;1,-(E220+E406+E592+E778),-(E220+E406+'3. General Model Inputs'!$D$53*E592+E778)/E34)</f>
        <v>0</v>
      </c>
      <c r="F964" s="30">
        <f>IF(F34&lt;1,-(F220+F406+F592+F778),-(F220+F406+'3. General Model Inputs'!$D$53*F592+F778)/F34)</f>
        <v>-18566.837500000001</v>
      </c>
      <c r="G964" s="30">
        <f>IF(G34&lt;1,-(G220+G406+G592+G778),-(G220+G406+'3. General Model Inputs'!$D$53*G592+G778)/G34)</f>
        <v>-37368.698259493671</v>
      </c>
      <c r="H964" s="30">
        <f>IF(H34&lt;1,-(H220+H406+H592+H778),-(H220+H406+'3. General Model Inputs'!$D$53*H592+H778)/H34)</f>
        <v>-37368.698259493671</v>
      </c>
    </row>
    <row r="965" spans="2:8">
      <c r="B965" s="152">
        <f t="shared" si="34"/>
        <v>0</v>
      </c>
      <c r="D965" s="30">
        <f>IF(D35&lt;1,-(D221+D407+D593+D779),-(D221+D407+'3. General Model Inputs'!$D$53*D593+D779)/D35)</f>
        <v>0</v>
      </c>
      <c r="E965" s="30">
        <f>IF(E35&lt;1,-(E221+E407+E593+E779),-(E221+E407+'3. General Model Inputs'!$D$53*E593+E779)/E35)</f>
        <v>0</v>
      </c>
      <c r="F965" s="30">
        <f>IF(F35&lt;1,-(F221+F407+F593+F779),-(F221+F407+'3. General Model Inputs'!$D$53*F593+F779)/F35)</f>
        <v>0</v>
      </c>
      <c r="G965" s="30">
        <f>IF(G35&lt;1,-(G221+G407+G593+G779),-(G221+G407+'3. General Model Inputs'!$D$53*G593+G779)/G35)</f>
        <v>-19089.162499999999</v>
      </c>
      <c r="H965" s="30">
        <f>IF(H35&lt;1,-(H221+H407+H593+H779),-(H221+H407+'3. General Model Inputs'!$D$53*H593+H779)/H35)</f>
        <v>-38419.959968354429</v>
      </c>
    </row>
    <row r="966" spans="2:8">
      <c r="B966" s="152">
        <f t="shared" si="34"/>
        <v>0</v>
      </c>
      <c r="D966" s="30">
        <f>IF(D36&lt;1,-(D222+D408+D594+D780),-(D222+D408+'3. General Model Inputs'!$D$53*D594+D780)/D36)</f>
        <v>0</v>
      </c>
      <c r="E966" s="30">
        <f>IF(E36&lt;1,-(E222+E408+E594+E780),-(E222+E408+'3. General Model Inputs'!$D$53*E594+E780)/E36)</f>
        <v>0</v>
      </c>
      <c r="F966" s="30">
        <f>IF(F36&lt;1,-(F222+F408+F594+F780),-(F222+F408+'3. General Model Inputs'!$D$53*F594+F780)/F36)</f>
        <v>0</v>
      </c>
      <c r="G966" s="30">
        <f>IF(G36&lt;1,-(G222+G408+G594+G780),-(G222+G408+'3. General Model Inputs'!$D$53*G594+G780)/G36)</f>
        <v>0</v>
      </c>
      <c r="H966" s="30">
        <f>IF(H36&lt;1,-(H222+H408+H594+H780),-(H222+H408+'3. General Model Inputs'!$D$53*H594+H780)/H36)</f>
        <v>-19645.431250000001</v>
      </c>
    </row>
    <row r="967" spans="2:8">
      <c r="B967" s="152">
        <f t="shared" si="34"/>
        <v>0</v>
      </c>
      <c r="D967" s="30">
        <f>IF(D37&lt;1,-(D223+D409+D595+D781),-(D223+D409+'3. General Model Inputs'!$D$53*D595+D781)/D37)</f>
        <v>-31403.307500000003</v>
      </c>
      <c r="E967" s="30">
        <f>IF(E37&lt;1,-(E223+E409+E595+E781),-(E223+E409+'3. General Model Inputs'!$D$53*E595+E781)/E37)</f>
        <v>-63611.828012820515</v>
      </c>
      <c r="F967" s="30">
        <f>IF(F37&lt;1,-(F223+F409+F595+F781),-(F223+F409+'3. General Model Inputs'!$D$53*F595+F781)/F37)</f>
        <v>-63611.828012820515</v>
      </c>
      <c r="G967" s="30">
        <f>IF(G37&lt;1,-(G223+G409+G595+G781),-(G223+G409+'3. General Model Inputs'!$D$53*G595+G781)/G37)</f>
        <v>-63611.828012820522</v>
      </c>
      <c r="H967" s="30">
        <f>IF(H37&lt;1,-(H223+H409+H595+H781),-(H223+H409+'3. General Model Inputs'!$D$53*H595+H781)/H37)</f>
        <v>-63611.82801282053</v>
      </c>
    </row>
    <row r="968" spans="2:8">
      <c r="B968" s="152">
        <f t="shared" si="34"/>
        <v>0</v>
      </c>
      <c r="D968" s="30">
        <f>IF(D38&lt;1,-(D224+D410+D596+D782),-(D224+D410+'3. General Model Inputs'!$D$53*D596+D782)/D38)</f>
        <v>0</v>
      </c>
      <c r="E968" s="30">
        <f>IF(E38&lt;1,-(E224+E410+E596+E782),-(E224+E410+'3. General Model Inputs'!$D$53*E596+E782)/E38)</f>
        <v>-66452.364874999999</v>
      </c>
      <c r="F968" s="30">
        <f>IF(F38&lt;1,-(F224+F410+F596+F782),-(F224+F410+'3. General Model Inputs'!$D$53*F596+F782)/F38)</f>
        <v>-134608.63654166667</v>
      </c>
      <c r="G968" s="30">
        <f>IF(G38&lt;1,-(G224+G410+G596+G782),-(G224+G410+'3. General Model Inputs'!$D$53*G596+G782)/G38)</f>
        <v>-134608.6365416667</v>
      </c>
      <c r="H968" s="30">
        <f>IF(H38&lt;1,-(H224+H410+H596+H782),-(H224+H410+'3. General Model Inputs'!$D$53*H596+H782)/H38)</f>
        <v>-134608.6365416667</v>
      </c>
    </row>
    <row r="969" spans="2:8">
      <c r="B969" s="152">
        <f t="shared" si="34"/>
        <v>0</v>
      </c>
      <c r="D969" s="30">
        <f>IF(D39&lt;1,-(D225+D411+D597+D783),-(D225+D411+'3. General Model Inputs'!$D$53*D597+D783)/D39)</f>
        <v>0</v>
      </c>
      <c r="E969" s="30">
        <f>IF(E39&lt;1,-(E225+E411+E597+E783),-(E225+E411+'3. General Model Inputs'!$D$53*E597+E783)/E39)</f>
        <v>0</v>
      </c>
      <c r="F969" s="30">
        <f>IF(F39&lt;1,-(F225+F411+F597+F783),-(F225+F411+'3. General Model Inputs'!$D$53*F597+F783)/F39)</f>
        <v>-17113.422624999996</v>
      </c>
      <c r="G969" s="30">
        <f>IF(G39&lt;1,-(G225+G411+G597+G783),-(G225+G411+'3. General Model Inputs'!$D$53*G597+G783)/G39)</f>
        <v>-34665.650958333325</v>
      </c>
      <c r="H969" s="30">
        <f>IF(H39&lt;1,-(H225+H411+H597+H783),-(H225+H411+'3. General Model Inputs'!$D$53*H597+H783)/H39)</f>
        <v>-34665.650958333325</v>
      </c>
    </row>
    <row r="970" spans="2:8">
      <c r="B970" s="152">
        <f t="shared" si="34"/>
        <v>0</v>
      </c>
      <c r="D970" s="30">
        <f>IF(D40&lt;1,-(D226+D412+D598+D784),-(D226+D412+'3. General Model Inputs'!$D$53*D598+D784)/D40)</f>
        <v>0</v>
      </c>
      <c r="E970" s="30">
        <f>IF(E40&lt;1,-(E226+E412+E598+E784),-(E226+E412+'3. General Model Inputs'!$D$53*E598+E784)/E40)</f>
        <v>0</v>
      </c>
      <c r="F970" s="30">
        <f>IF(F40&lt;1,-(F226+F412+F598+F784),-(F226+F412+'3. General Model Inputs'!$D$53*F598+F784)/F40)</f>
        <v>-10436.937242113609</v>
      </c>
      <c r="G970" s="30">
        <f>IF(G40&lt;1,-(G226+G412+G598+G784),-(G226+G412+'3. General Model Inputs'!$D$53*G598+G784)/G40)</f>
        <v>-21086.873203454023</v>
      </c>
      <c r="H970" s="30">
        <f>IF(H40&lt;1,-(H226+H412+H598+H784),-(H226+H412+'3. General Model Inputs'!$D$53*H598+H784)/H40)</f>
        <v>-21086.873203454023</v>
      </c>
    </row>
    <row r="971" spans="2:8">
      <c r="B971" s="152">
        <f t="shared" si="34"/>
        <v>0</v>
      </c>
      <c r="D971" s="30">
        <f>IF(D41&lt;1,-(D227+D413+D599+D785),-(D227+D413+'3. General Model Inputs'!$D$53*D599+D785)/D41)</f>
        <v>0</v>
      </c>
      <c r="E971" s="30">
        <f>IF(E41&lt;1,-(E227+E413+E599+E785),-(E227+E413+'3. General Model Inputs'!$D$53*E599+E785)/E41)</f>
        <v>0</v>
      </c>
      <c r="F971" s="30">
        <f>IF(F41&lt;1,-(F227+F413+F599+F785),-(F227+F413+'3. General Model Inputs'!$D$53*F599+F785)/F41)</f>
        <v>0</v>
      </c>
      <c r="G971" s="30">
        <f>IF(G41&lt;1,-(G227+G413+G599+G785),-(G227+G413+'3. General Model Inputs'!$D$53*G599+G785)/G41)</f>
        <v>-32125.702053311394</v>
      </c>
      <c r="H971" s="30">
        <f>IF(H41&lt;1,-(H227+H413+H599+H785),-(H227+H413+'3. General Model Inputs'!$D$53*H599+H785)/H41)</f>
        <v>-64907.030679139345</v>
      </c>
    </row>
    <row r="972" spans="2:8">
      <c r="B972" s="152">
        <f t="shared" si="34"/>
        <v>0</v>
      </c>
      <c r="D972" s="30">
        <f>IF(D42&lt;1,-(D228+D414+D600+D786),-(D228+D414+'3. General Model Inputs'!$D$53*D600+D786)/D42)</f>
        <v>0</v>
      </c>
      <c r="E972" s="30">
        <f>IF(E42&lt;1,-(E228+E414+E600+E786),-(E228+E414+'3. General Model Inputs'!$D$53*E600+E786)/E42)</f>
        <v>0</v>
      </c>
      <c r="F972" s="30">
        <f>IF(F42&lt;1,-(F228+F414+F600+F786),-(F228+F414+'3. General Model Inputs'!$D$53*F600+F786)/F42)</f>
        <v>0</v>
      </c>
      <c r="G972" s="30">
        <f>IF(G42&lt;1,-(G228+G414+G600+G786),-(G228+G414+'3. General Model Inputs'!$D$53*G600+G786)/G42)</f>
        <v>0</v>
      </c>
      <c r="H972" s="30">
        <f>IF(H42&lt;1,-(H228+H414+H600+H786),-(H228+H414+'3. General Model Inputs'!$D$53*H600+H786)/H42)</f>
        <v>-43210.094228725109</v>
      </c>
    </row>
    <row r="973" spans="2:8">
      <c r="B973" s="152">
        <f t="shared" si="34"/>
        <v>0</v>
      </c>
      <c r="D973" s="30">
        <f>IF(D43&lt;1,-(D229+D415+D601+D787),-(D229+D415+'3. General Model Inputs'!$D$53*D601+D787)/D43)</f>
        <v>0</v>
      </c>
      <c r="E973" s="30">
        <f>IF(E43&lt;1,-(E229+E415+E601+E787),-(E229+E415+'3. General Model Inputs'!$D$53*E601+E787)/E43)</f>
        <v>-4731.6833333333334</v>
      </c>
      <c r="F973" s="30">
        <f>IF(F43&lt;1,-(F229+F415+F601+F787),-(F229+F415+'3. General Model Inputs'!$D$53*F601+F787)/F43)</f>
        <v>-9626.528160919539</v>
      </c>
      <c r="G973" s="30">
        <f>IF(G43&lt;1,-(G229+G415+G601+G787),-(G229+G415+'3. General Model Inputs'!$D$53*G601+G787)/G43)</f>
        <v>-9626.528160919539</v>
      </c>
      <c r="H973" s="30">
        <f>IF(H43&lt;1,-(H229+H415+H601+H787),-(H229+H415+'3. General Model Inputs'!$D$53*H601+H787)/H43)</f>
        <v>-9626.528160919539</v>
      </c>
    </row>
    <row r="974" spans="2:8">
      <c r="B974" s="152">
        <f t="shared" si="34"/>
        <v>0</v>
      </c>
      <c r="D974" s="30">
        <f>IF(D44&lt;1,-(D230+D416+D602+D788),-(D230+D416+'3. General Model Inputs'!$D$53*D602+D788)/D44)</f>
        <v>0</v>
      </c>
      <c r="E974" s="30">
        <f>IF(E44&lt;1,-(E230+E416+E602+E788),-(E230+E416+'3. General Model Inputs'!$D$53*E602+E788)/E44)</f>
        <v>0</v>
      </c>
      <c r="F974" s="30">
        <f>IF(F44&lt;1,-(F230+F416+F602+F788),-(F230+F416+'3. General Model Inputs'!$D$53*F602+F788)/F44)</f>
        <v>-7664.3833333333332</v>
      </c>
      <c r="G974" s="30">
        <f>IF(G44&lt;1,-(G230+G416+G602+G788),-(G230+G416+'3. General Model Inputs'!$D$53*G602+G788)/G44)</f>
        <v>-15593.055747126436</v>
      </c>
      <c r="H974" s="30">
        <f>IF(H44&lt;1,-(H230+H416+H602+H788),-(H230+H416+'3. General Model Inputs'!$D$53*H602+H788)/H44)</f>
        <v>-15593.055747126435</v>
      </c>
    </row>
    <row r="975" spans="2:8">
      <c r="B975" s="152">
        <f t="shared" si="34"/>
        <v>0</v>
      </c>
      <c r="D975" s="30">
        <f>IF(D45&lt;1,-(D231+D417+D603+D789),-(D231+D417+'3. General Model Inputs'!$D$53*D603+D789)/D45)</f>
        <v>0</v>
      </c>
      <c r="E975" s="30">
        <f>IF(E45&lt;1,-(E231+E417+E603+E789),-(E231+E417+'3. General Model Inputs'!$D$53*E603+E789)/E45)</f>
        <v>0</v>
      </c>
      <c r="F975" s="30">
        <f>IF(F45&lt;1,-(F231+F417+F603+F789),-(F231+F417+'3. General Model Inputs'!$D$53*F603+F789)/F45)</f>
        <v>0</v>
      </c>
      <c r="G975" s="30">
        <f>IF(G45&lt;1,-(G231+G417+G603+G789),-(G231+G417+'3. General Model Inputs'!$D$53*G603+G789)/G45)</f>
        <v>-55532.1</v>
      </c>
      <c r="H975" s="30">
        <f>IF(H45&lt;1,-(H231+H417+H603+H789),-(H231+H417+'3. General Model Inputs'!$D$53*H603+H789)/H45)</f>
        <v>-112979.09999999999</v>
      </c>
    </row>
    <row r="976" spans="2:8">
      <c r="B976" s="152">
        <f t="shared" si="34"/>
        <v>0</v>
      </c>
      <c r="D976" s="30">
        <f>IF(D46&lt;1,-(D232+D418+D604+D790),-(D232+D418+'3. General Model Inputs'!$D$53*D604+D790)/D46)</f>
        <v>0</v>
      </c>
      <c r="E976" s="30">
        <f>IF(E46&lt;1,-(E232+E418+E604+E790),-(E232+E418+'3. General Model Inputs'!$D$53*E604+E790)/E46)</f>
        <v>0</v>
      </c>
      <c r="F976" s="30">
        <f>IF(F46&lt;1,-(F232+F418+F604+F790),-(F232+F418+'3. General Model Inputs'!$D$53*F604+F790)/F46)</f>
        <v>0</v>
      </c>
      <c r="G976" s="30">
        <f>IF(G46&lt;1,-(G232+G418+G604+G790),-(G232+G418+'3. General Model Inputs'!$D$53*G604+G790)/G46)</f>
        <v>0</v>
      </c>
      <c r="H976" s="30">
        <f>IF(H46&lt;1,-(H232+H418+H604+H790),-(H232+H418+'3. General Model Inputs'!$D$53*H604+H790)/H46)</f>
        <v>-57150.35</v>
      </c>
    </row>
    <row r="977" spans="2:8">
      <c r="B977" s="152">
        <f t="shared" si="34"/>
        <v>0</v>
      </c>
      <c r="D977" s="30">
        <f>IF(D47&lt;1,-(D233+D419+D605+D791),-(D233+D419+'3. General Model Inputs'!$D$53*D605+D791)/D47)</f>
        <v>0</v>
      </c>
      <c r="E977" s="30">
        <f>IF(E47&lt;1,-(E233+E419+E605+E791),-(E233+E419+'3. General Model Inputs'!$D$53*E605+E791)/E47)</f>
        <v>0</v>
      </c>
      <c r="F977" s="30">
        <f>IF(F47&lt;1,-(F233+F419+F605+F791),-(F233+F419+'3. General Model Inputs'!$D$53*F605+F791)/F47)</f>
        <v>-19668.737499999999</v>
      </c>
      <c r="G977" s="30">
        <f>IF(G47&lt;1,-(G233+G419+G605+G791),-(G233+G419+'3. General Model Inputs'!$D$53*G605+G791)/G47)</f>
        <v>-39586.446360759495</v>
      </c>
      <c r="H977" s="30">
        <f>IF(H47&lt;1,-(H233+H419+H605+H791),-(H233+H419+'3. General Model Inputs'!$D$53*H605+H791)/H47)</f>
        <v>-39586.446360759495</v>
      </c>
    </row>
    <row r="978" spans="2:8">
      <c r="B978" s="152">
        <f t="shared" si="34"/>
        <v>0</v>
      </c>
      <c r="D978" s="30">
        <f>IF(D48&lt;1,-(D234+D420+D606+D792),-(D234+D420+'3. General Model Inputs'!$D$53*D606+D792)/D48)</f>
        <v>0</v>
      </c>
      <c r="E978" s="30">
        <f>IF(E48&lt;1,-(E234+E420+E606+E792),-(E234+E420+'3. General Model Inputs'!$D$53*E606+E792)/E48)</f>
        <v>0</v>
      </c>
      <c r="F978" s="30">
        <f>IF(F48&lt;1,-(F234+F420+F606+F792),-(F234+F420+'3. General Model Inputs'!$D$53*F606+F792)/F48)</f>
        <v>0</v>
      </c>
      <c r="G978" s="30">
        <f>IF(G48&lt;1,-(G234+G420+G606+G792),-(G234+G420+'3. General Model Inputs'!$D$53*G606+G792)/G48)</f>
        <v>-17194.9375</v>
      </c>
      <c r="H978" s="30">
        <f>IF(H48&lt;1,-(H234+H420+H606+H792),-(H234+H420+'3. General Model Inputs'!$D$53*H606+H792)/H48)</f>
        <v>-34607.532436708861</v>
      </c>
    </row>
    <row r="979" spans="2:8">
      <c r="B979" s="152">
        <f t="shared" si="34"/>
        <v>0</v>
      </c>
      <c r="D979" s="30">
        <f>IF(D49&lt;1,-(D235+D421+D607+D793),-(D235+D421+'3. General Model Inputs'!$D$53*D607+D793)/D49)</f>
        <v>0</v>
      </c>
      <c r="E979" s="30">
        <f>IF(E49&lt;1,-(E235+E421+E607+E793),-(E235+E421+'3. General Model Inputs'!$D$53*E607+E793)/E49)</f>
        <v>0</v>
      </c>
      <c r="F979" s="30">
        <f>IF(F49&lt;1,-(F235+F421+F607+F793),-(F235+F421+'3. General Model Inputs'!$D$53*F607+F793)/F49)</f>
        <v>0</v>
      </c>
      <c r="G979" s="30">
        <f>IF(G49&lt;1,-(G235+G421+G607+G793),-(G235+G421+'3. General Model Inputs'!$D$53*G607+G793)/G49)</f>
        <v>0</v>
      </c>
      <c r="H979" s="30">
        <f>IF(H49&lt;1,-(H235+H421+H607+H793),-(H235+H421+'3. General Model Inputs'!$D$53*H607+H793)/H49)</f>
        <v>-8131.7250000000004</v>
      </c>
    </row>
    <row r="980" spans="2:8">
      <c r="B980" s="152">
        <f t="shared" si="34"/>
        <v>0</v>
      </c>
      <c r="D980" s="30">
        <f>IF(D50&lt;1,-(D236+D422+D608+D794),-(D236+D422+'3. General Model Inputs'!$D$53*D608+D794)/D50)</f>
        <v>0</v>
      </c>
      <c r="E980" s="30">
        <f>IF(E50&lt;1,-(E236+E422+E608+E794),-(E236+E422+'3. General Model Inputs'!$D$53*E608+E794)/E50)</f>
        <v>-2500</v>
      </c>
      <c r="F980" s="30">
        <f>IF(F50&lt;1,-(F236+F422+F608+F794),-(F236+F422+'3. General Model Inputs'!$D$53*F608+F794)/F50)</f>
        <v>-5064.1025641025644</v>
      </c>
      <c r="G980" s="30">
        <f>IF(G50&lt;1,-(G236+G422+G608+G794),-(G236+G422+'3. General Model Inputs'!$D$53*G608+G794)/G50)</f>
        <v>-5064.1025641025644</v>
      </c>
      <c r="H980" s="30">
        <f>IF(H50&lt;1,-(H236+H422+H608+H794),-(H236+H422+'3. General Model Inputs'!$D$53*H608+H794)/H50)</f>
        <v>-5064.1025641025644</v>
      </c>
    </row>
    <row r="981" spans="2:8">
      <c r="B981" s="152">
        <f t="shared" si="34"/>
        <v>0</v>
      </c>
      <c r="D981" s="30">
        <f>IF(D51&lt;1,-(D237+D423+D609+D795),-(D237+D423+'3. General Model Inputs'!$D$53*D609+D795)/D51)</f>
        <v>0</v>
      </c>
      <c r="E981" s="30">
        <f>IF(E51&lt;1,-(E237+E423+E609+E795),-(E237+E423+'3. General Model Inputs'!$D$53*E609+E795)/E51)</f>
        <v>0</v>
      </c>
      <c r="F981" s="30">
        <f>IF(F51&lt;1,-(F237+F423+F609+F795),-(F237+F423+'3. General Model Inputs'!$D$53*F609+F795)/F51)</f>
        <v>-7627.3625000000002</v>
      </c>
      <c r="G981" s="30">
        <f>IF(G51&lt;1,-(G237+G423+G609+G795),-(G237+G423+'3. General Model Inputs'!$D$53*G609+G795)/G51)</f>
        <v>-15450.298397435896</v>
      </c>
      <c r="H981" s="30">
        <f>IF(H51&lt;1,-(H237+H423+H609+H795),-(H237+H423+'3. General Model Inputs'!$D$53*H609+H795)/H51)</f>
        <v>-15450.298397435896</v>
      </c>
    </row>
    <row r="982" spans="2:8">
      <c r="B982" s="152">
        <f t="shared" si="34"/>
        <v>0</v>
      </c>
      <c r="D982" s="30">
        <f>IF(D52&lt;1,-(D238+D424+D610+D796),-(D238+D424+'3. General Model Inputs'!$D$53*D610+D796)/D52)</f>
        <v>0</v>
      </c>
      <c r="E982" s="30">
        <f>IF(E52&lt;1,-(E238+E424+E610+E796),-(E238+E424+'3. General Model Inputs'!$D$53*E610+E796)/E52)</f>
        <v>0</v>
      </c>
      <c r="F982" s="30">
        <f>IF(F52&lt;1,-(F238+F424+F610+F796),-(F238+F424+'3. General Model Inputs'!$D$53*F610+F796)/F52)</f>
        <v>0</v>
      </c>
      <c r="G982" s="30">
        <f>IF(G52&lt;1,-(G238+G424+G610+G796),-(G238+G424+'3. General Model Inputs'!$D$53*G610+G796)/G52)</f>
        <v>-29813.8</v>
      </c>
      <c r="H982" s="30">
        <f>IF(H52&lt;1,-(H238+H424+H610+H796),-(H238+H424+'3. General Model Inputs'!$D$53*H610+H796)/H52)</f>
        <v>-60392.056410256417</v>
      </c>
    </row>
    <row r="983" spans="2:8">
      <c r="B983" s="152">
        <f t="shared" si="34"/>
        <v>0</v>
      </c>
      <c r="D983" s="30">
        <f>IF(D53&lt;1,-(D239+D425+D611+D797),-(D239+D425+'3. General Model Inputs'!$D$53*D611+D797)/D53)</f>
        <v>0</v>
      </c>
      <c r="E983" s="30">
        <f>IF(E53&lt;1,-(E239+E425+E611+E797),-(E239+E425+'3. General Model Inputs'!$D$53*E611+E797)/E53)</f>
        <v>0</v>
      </c>
      <c r="F983" s="30">
        <f>IF(F53&lt;1,-(F239+F425+F611+F797),-(F239+F425+'3. General Model Inputs'!$D$53*F611+F797)/F53)</f>
        <v>0</v>
      </c>
      <c r="G983" s="30">
        <f>IF(G53&lt;1,-(G239+G425+G611+G797),-(G239+G425+'3. General Model Inputs'!$D$53*G611+G797)/G53)</f>
        <v>0</v>
      </c>
      <c r="H983" s="30">
        <f>IF(H53&lt;1,-(H239+H425+H611+H797),-(H239+H425+'3. General Model Inputs'!$D$53*H611+H797)/H53)</f>
        <v>-42862.762499999997</v>
      </c>
    </row>
    <row r="984" spans="2:8">
      <c r="B984" s="152">
        <f t="shared" si="34"/>
        <v>0</v>
      </c>
      <c r="D984" s="30">
        <f>IF(D54&lt;1,-(D240+D426+D612+D798),-(D240+D426+'3. General Model Inputs'!$D$53*D612+D798)/D54)</f>
        <v>-53884.671300000002</v>
      </c>
      <c r="E984" s="30">
        <f>IF(E54&lt;1,-(E240+E426+E612+E798),-(E240+E426+'3. General Model Inputs'!$D$53*E612+E798)/E54)</f>
        <v>-108869.02976938777</v>
      </c>
      <c r="F984" s="30">
        <f>IF(F54&lt;1,-(F240+F426+F612+F798),-(F240+F426+'3. General Model Inputs'!$D$53*F612+F798)/F54)</f>
        <v>-108869.02976938775</v>
      </c>
      <c r="G984" s="30">
        <f>IF(G54&lt;1,-(G240+G426+G612+G798),-(G240+G426+'3. General Model Inputs'!$D$53*G612+G798)/G54)</f>
        <v>-108869.02976938775</v>
      </c>
      <c r="H984" s="30">
        <f>IF(H54&lt;1,-(H240+H426+H612+H798),-(H240+H426+'3. General Model Inputs'!$D$53*H612+H798)/H54)</f>
        <v>-108869.02976938775</v>
      </c>
    </row>
    <row r="985" spans="2:8">
      <c r="B985" s="152">
        <f t="shared" si="34"/>
        <v>0</v>
      </c>
      <c r="D985" s="30">
        <f>IF(D55&lt;1,-(D241+D427+D613+D799),-(D241+D427+'3. General Model Inputs'!$D$53*D613+D799)/D55)</f>
        <v>0</v>
      </c>
      <c r="E985" s="30">
        <f>IF(E55&lt;1,-(E241+E427+E613+E799),-(E241+E427+'3. General Model Inputs'!$D$53*E613+E799)/E55)</f>
        <v>-8486.5010000000002</v>
      </c>
      <c r="F985" s="30">
        <f>IF(F55&lt;1,-(F241+F427+F613+F799),-(F241+F427+'3. General Model Inputs'!$D$53*F613+F799)/F55)</f>
        <v>-17146.195897959184</v>
      </c>
      <c r="G985" s="30">
        <f>IF(G55&lt;1,-(G241+G427+G613+G799),-(G241+G427+'3. General Model Inputs'!$D$53*G613+G799)/G55)</f>
        <v>-17146.195897959184</v>
      </c>
      <c r="H985" s="30">
        <f>IF(H55&lt;1,-(H241+H427+H613+H799),-(H241+H427+'3. General Model Inputs'!$D$53*H613+H799)/H55)</f>
        <v>-17146.195897959184</v>
      </c>
    </row>
    <row r="986" spans="2:8">
      <c r="B986" s="152">
        <f t="shared" si="34"/>
        <v>0</v>
      </c>
      <c r="D986" s="30">
        <f>IF(D56&lt;1,-(D242+D428+D614+D800),-(D242+D428+'3. General Model Inputs'!$D$53*D614+D800)/D56)</f>
        <v>-37653.388375000002</v>
      </c>
      <c r="E986" s="30">
        <f>IF(E56&lt;1,-(E242+E428+E614+E800),-(E242+E428+'3. General Model Inputs'!$D$53*E614+E800)/E56)</f>
        <v>-75783.401919303797</v>
      </c>
      <c r="F986" s="30">
        <f>IF(F56&lt;1,-(F242+F428+F614+F800),-(F242+F428+'3. General Model Inputs'!$D$53*F614+F800)/F56)</f>
        <v>-75783.401919303811</v>
      </c>
      <c r="G986" s="30">
        <f>IF(G56&lt;1,-(G242+G428+G614+G800),-(G242+G428+'3. General Model Inputs'!$D$53*G614+G800)/G56)</f>
        <v>-75783.401919303811</v>
      </c>
      <c r="H986" s="30">
        <f>IF(H56&lt;1,-(H242+H428+H614+H800),-(H242+H428+'3. General Model Inputs'!$D$53*H614+H800)/H56)</f>
        <v>-75783.401919303811</v>
      </c>
    </row>
    <row r="987" spans="2:8">
      <c r="B987" s="152">
        <f t="shared" si="34"/>
        <v>0</v>
      </c>
      <c r="D987" s="30">
        <f>IF(D57&lt;1,-(D243+D429+D615+D801),-(D243+D429+'3. General Model Inputs'!$D$53*D615+D801)/D57)</f>
        <v>0</v>
      </c>
      <c r="E987" s="30">
        <f>IF(E57&lt;1,-(E243+E429+E615+E801),-(E243+E429+'3. General Model Inputs'!$D$53*E615+E801)/E57)</f>
        <v>-1096.9789999999998</v>
      </c>
      <c r="F987" s="30">
        <f>IF(F57&lt;1,-(F243+F429+F615+F801),-(F243+F429+'3. General Model Inputs'!$D$53*F615+F801)/F57)</f>
        <v>-2207.843810126582</v>
      </c>
      <c r="G987" s="30">
        <f>IF(G57&lt;1,-(G243+G429+G615+G801),-(G243+G429+'3. General Model Inputs'!$D$53*G615+G801)/G57)</f>
        <v>-2207.8438101265815</v>
      </c>
      <c r="H987" s="30">
        <f>IF(H57&lt;1,-(H243+H429+H615+H801),-(H243+H429+'3. General Model Inputs'!$D$53*H615+H801)/H57)</f>
        <v>-2207.8438101265815</v>
      </c>
    </row>
    <row r="988" spans="2:8">
      <c r="B988" s="152">
        <f t="shared" si="34"/>
        <v>0</v>
      </c>
      <c r="D988" s="30">
        <f>IF(D58&lt;1,-(D244+D430+D616+D802),-(D244+D430+'3. General Model Inputs'!$D$53*D616+D802)/D58)</f>
        <v>0</v>
      </c>
      <c r="E988" s="30">
        <f>IF(E58&lt;1,-(E244+E430+E616+E802),-(E244+E430+'3. General Model Inputs'!$D$53*E616+E802)/E58)</f>
        <v>0</v>
      </c>
      <c r="F988" s="30">
        <f>IF(F58&lt;1,-(F244+F430+F616+F802),-(F244+F430+'3. General Model Inputs'!$D$53*F616+F802)/F58)</f>
        <v>0</v>
      </c>
      <c r="G988" s="30">
        <f>IF(G58&lt;1,-(G244+G430+G616+G802),-(G244+G430+'3. General Model Inputs'!$D$53*G616+G802)/G58)</f>
        <v>-9255.35</v>
      </c>
      <c r="H988" s="30">
        <f>IF(H58&lt;1,-(H244+H430+H616+H802),-(H244+H430+'3. General Model Inputs'!$D$53*H616+H802)/H58)</f>
        <v>-18667.570338983049</v>
      </c>
    </row>
    <row r="989" spans="2:8">
      <c r="B989" s="152">
        <f t="shared" si="34"/>
        <v>0</v>
      </c>
      <c r="D989" s="30">
        <f>IF(D59&lt;1,-(D245+D431+D617+D803),-(D245+D431+'3. General Model Inputs'!$D$53*D617+D803)/D59)</f>
        <v>0</v>
      </c>
      <c r="E989" s="30">
        <f>IF(E59&lt;1,-(E245+E431+E617+E803),-(E245+E431+'3. General Model Inputs'!$D$53*E617+E803)/E59)</f>
        <v>0</v>
      </c>
      <c r="F989" s="30">
        <f>IF(F59&lt;1,-(F245+F431+F617+F803),-(F245+F431+'3. General Model Inputs'!$D$53*F617+F803)/F59)</f>
        <v>0</v>
      </c>
      <c r="G989" s="30">
        <f>IF(G59&lt;1,-(G245+G431+G617+G803),-(G245+G431+'3. General Model Inputs'!$D$53*G617+G803)/G59)</f>
        <v>0</v>
      </c>
      <c r="H989" s="30">
        <f>IF(H59&lt;1,-(H245+H431+H617+H803),-(H245+H431+'3. General Model Inputs'!$D$53*H617+H803)/H59)</f>
        <v>-38457.425000000003</v>
      </c>
    </row>
    <row r="990" spans="2:8">
      <c r="B990" s="152">
        <f t="shared" si="34"/>
        <v>0</v>
      </c>
      <c r="D990" s="30">
        <f>IF(D60&lt;1,-(D246+D432+D618+D804),-(D246+D432+'3. General Model Inputs'!$D$53*D618+D804)/D60)</f>
        <v>0</v>
      </c>
      <c r="E990" s="30">
        <f>IF(E60&lt;1,-(E246+E432+E618+E804),-(E246+E432+'3. General Model Inputs'!$D$53*E618+E804)/E60)</f>
        <v>0</v>
      </c>
      <c r="F990" s="30">
        <f>IF(F60&lt;1,-(F246+F432+F618+F804),-(F246+F432+'3. General Model Inputs'!$D$53*F618+F804)/F60)</f>
        <v>-3346.4272972199369</v>
      </c>
      <c r="G990" s="30">
        <f>IF(G60&lt;1,-(G246+G432+G618+G804),-(G246+G432+'3. General Model Inputs'!$D$53*G618+G804)/G60)</f>
        <v>-6735.2144336451884</v>
      </c>
      <c r="H990" s="30">
        <f>IF(H60&lt;1,-(H246+H432+H618+H804),-(H246+H432+'3. General Model Inputs'!$D$53*H618+H804)/H60)</f>
        <v>-6735.2144336451893</v>
      </c>
    </row>
    <row r="991" spans="2:8">
      <c r="B991" s="152">
        <f t="shared" si="34"/>
        <v>0</v>
      </c>
      <c r="D991" s="30">
        <f>IF(D61&lt;1,-(D247+D433+D619+D805),-(D247+D433+'3. General Model Inputs'!$D$53*D619+D805)/D61)</f>
        <v>0</v>
      </c>
      <c r="E991" s="30">
        <f>IF(E61&lt;1,-(E247+E433+E619+E805),-(E247+E433+'3. General Model Inputs'!$D$53*E619+E805)/E61)</f>
        <v>0</v>
      </c>
      <c r="F991" s="30">
        <f>IF(F61&lt;1,-(F247+F433+F619+F805),-(F247+F433+'3. General Model Inputs'!$D$53*F619+F805)/F61)</f>
        <v>0</v>
      </c>
      <c r="G991" s="30">
        <f>IF(G61&lt;1,-(G247+G433+G619+G805),-(G247+G433+'3. General Model Inputs'!$D$53*G619+G805)/G61)</f>
        <v>-14675.525321828589</v>
      </c>
      <c r="H991" s="30">
        <f>IF(H61&lt;1,-(H247+H433+H619+H805),-(H247+H433+'3. General Model Inputs'!$D$53*H619+H805)/H61)</f>
        <v>-29536.816786971463</v>
      </c>
    </row>
    <row r="992" spans="2:8">
      <c r="B992" s="152">
        <f t="shared" si="34"/>
        <v>0</v>
      </c>
      <c r="D992" s="30">
        <f>IF(D62&lt;1,-(D248+D434+D620+D806),-(D248+D434+'3. General Model Inputs'!$D$53*D620+D806)/D62)</f>
        <v>0</v>
      </c>
      <c r="E992" s="30">
        <f>IF(E62&lt;1,-(E248+E434+E620+E806),-(E248+E434+'3. General Model Inputs'!$D$53*E620+E806)/E62)</f>
        <v>0</v>
      </c>
      <c r="F992" s="30">
        <f>IF(F62&lt;1,-(F248+F434+F620+F806),-(F248+F434+'3. General Model Inputs'!$D$53*F620+F806)/F62)</f>
        <v>0</v>
      </c>
      <c r="G992" s="30">
        <f>IF(G62&lt;1,-(G248+G434+G620+G806),-(G248+G434+'3. General Model Inputs'!$D$53*G620+G806)/G62)</f>
        <v>0</v>
      </c>
      <c r="H992" s="30">
        <f>IF(H62&lt;1,-(H248+H434+H620+H806),-(H248+H434+'3. General Model Inputs'!$D$53*H620+H806)/H62)</f>
        <v>-15088.378333698642</v>
      </c>
    </row>
    <row r="993" spans="2:8">
      <c r="B993" s="152">
        <f t="shared" si="34"/>
        <v>0</v>
      </c>
      <c r="D993" s="30">
        <f>IF(D63&lt;1,-(D249+D435+D621+D807),-(D249+D435+'3. General Model Inputs'!$D$53*D621+D807)/D63)</f>
        <v>-7036.6263750000016</v>
      </c>
      <c r="E993" s="30">
        <f>IF(E63&lt;1,-(E249+E435+E621+E807),-(E249+E435+'3. General Model Inputs'!$D$53*E621+E807)/E63)</f>
        <v>-14253.679067307696</v>
      </c>
      <c r="F993" s="30">
        <f>IF(F63&lt;1,-(F249+F435+F621+F807),-(F249+F435+'3. General Model Inputs'!$D$53*F621+F807)/F63)</f>
        <v>-14253.679067307694</v>
      </c>
      <c r="G993" s="30">
        <f>IF(G63&lt;1,-(G249+G435+G621+G807),-(G249+G435+'3. General Model Inputs'!$D$53*G621+G807)/G63)</f>
        <v>-14253.679067307694</v>
      </c>
      <c r="H993" s="30">
        <f>IF(H63&lt;1,-(H249+H435+H621+H807),-(H249+H435+'3. General Model Inputs'!$D$53*H621+H807)/H63)</f>
        <v>-14253.679067307694</v>
      </c>
    </row>
    <row r="994" spans="2:8">
      <c r="B994" s="152">
        <f t="shared" si="34"/>
        <v>0</v>
      </c>
      <c r="D994" s="30">
        <f>IF(D64&lt;1,-(D250+D436+D622+D808),-(D250+D436+'3. General Model Inputs'!$D$53*D622+D808)/D64)</f>
        <v>0</v>
      </c>
      <c r="E994" s="30">
        <f>IF(E64&lt;1,-(E250+E436+E622+E808),-(E250+E436+'3. General Model Inputs'!$D$53*E622+E808)/E64)</f>
        <v>-32066.829249999999</v>
      </c>
      <c r="F994" s="30">
        <f>IF(F64&lt;1,-(F250+F436+F622+F808),-(F250+F436+'3. General Model Inputs'!$D$53*F622+F808)/F64)</f>
        <v>-64955.884891025642</v>
      </c>
      <c r="G994" s="30">
        <f>IF(G64&lt;1,-(G250+G436+G622+G808),-(G250+G436+'3. General Model Inputs'!$D$53*G622+G808)/G64)</f>
        <v>-64955.884891025635</v>
      </c>
      <c r="H994" s="30">
        <f>IF(H64&lt;1,-(H250+H436+H622+H808),-(H250+H436+'3. General Model Inputs'!$D$53*H622+H808)/H64)</f>
        <v>-64955.884891025635</v>
      </c>
    </row>
    <row r="995" spans="2:8">
      <c r="B995" s="152">
        <f t="shared" si="34"/>
        <v>0</v>
      </c>
      <c r="D995" s="30">
        <f>IF(D65&lt;1,-(D251+D437+D623+D809),-(D251+D437+'3. General Model Inputs'!$D$53*D623+D809)/D65)</f>
        <v>0</v>
      </c>
      <c r="E995" s="30">
        <f>IF(E65&lt;1,-(E251+E437+E623+E809),-(E251+E437+'3. General Model Inputs'!$D$53*E623+E809)/E65)</f>
        <v>0</v>
      </c>
      <c r="F995" s="30">
        <f>IF(F65&lt;1,-(F251+F437+F623+F809),-(F251+F437+'3. General Model Inputs'!$D$53*F623+F809)/F65)</f>
        <v>-25131.25</v>
      </c>
      <c r="G995" s="30">
        <f>IF(G65&lt;1,-(G251+G437+G623+G809),-(G251+G437+'3. General Model Inputs'!$D$53*G623+G809)/G65)</f>
        <v>-50906.891025641024</v>
      </c>
      <c r="H995" s="30">
        <f>IF(H65&lt;1,-(H251+H437+H623+H809),-(H251+H437+'3. General Model Inputs'!$D$53*H623+H809)/H65)</f>
        <v>-50906.891025641024</v>
      </c>
    </row>
    <row r="996" spans="2:8">
      <c r="B996" s="152">
        <f t="shared" si="34"/>
        <v>0</v>
      </c>
      <c r="D996" s="30">
        <f>IF(D66&lt;1,-(D252+D438+D624+D810),-(D252+D438+'3. General Model Inputs'!$D$53*D624+D810)/D66)</f>
        <v>0</v>
      </c>
      <c r="E996" s="30">
        <f>IF(E66&lt;1,-(E252+E438+E624+E810),-(E252+E438+'3. General Model Inputs'!$D$53*E624+E810)/E66)</f>
        <v>-2500</v>
      </c>
      <c r="F996" s="30">
        <f>IF(F66&lt;1,-(F252+F438+F624+F810),-(F252+F438+'3. General Model Inputs'!$D$53*F624+F810)/F66)</f>
        <v>-5064.1025641025644</v>
      </c>
      <c r="G996" s="30">
        <f>IF(G66&lt;1,-(G252+G438+G624+G810),-(G252+G438+'3. General Model Inputs'!$D$53*G624+G810)/G66)</f>
        <v>-5064.1025641025644</v>
      </c>
      <c r="H996" s="30">
        <f>IF(H66&lt;1,-(H252+H438+H624+H810),-(H252+H438+'3. General Model Inputs'!$D$53*H624+H810)/H66)</f>
        <v>-5064.1025641025644</v>
      </c>
    </row>
    <row r="997" spans="2:8">
      <c r="B997" s="152">
        <f t="shared" si="34"/>
        <v>0</v>
      </c>
      <c r="D997" s="30">
        <f>IF(D67&lt;1,-(D253+D439+D625+D811),-(D253+D439+'3. General Model Inputs'!$D$53*D625+D811)/D67)</f>
        <v>0</v>
      </c>
      <c r="E997" s="30">
        <f>IF(E67&lt;1,-(E253+E439+E625+E811),-(E253+E439+'3. General Model Inputs'!$D$53*E625+E811)/E67)</f>
        <v>0</v>
      </c>
      <c r="F997" s="30">
        <f>IF(F67&lt;1,-(F253+F439+F625+F811),-(F253+F439+'3. General Model Inputs'!$D$53*F625+F811)/F67)</f>
        <v>-29382.262500000001</v>
      </c>
      <c r="G997" s="30">
        <f>IF(G67&lt;1,-(G253+G439+G625+G811),-(G253+G439+'3. General Model Inputs'!$D$53*G625+G811)/G67)</f>
        <v>-59517.916346153841</v>
      </c>
      <c r="H997" s="30">
        <f>IF(H67&lt;1,-(H253+H439+H625+H811),-(H253+H439+'3. General Model Inputs'!$D$53*H625+H811)/H67)</f>
        <v>-59517.916346153848</v>
      </c>
    </row>
    <row r="998" spans="2:8">
      <c r="B998" s="152">
        <f t="shared" si="34"/>
        <v>0</v>
      </c>
      <c r="D998" s="30">
        <f>IF(D68&lt;1,-(D254+D440+D626+D812),-(D254+D440+'3. General Model Inputs'!$D$53*D626+D812)/D68)</f>
        <v>0</v>
      </c>
      <c r="E998" s="30">
        <f>IF(E68&lt;1,-(E254+E440+E626+E812),-(E254+E440+'3. General Model Inputs'!$D$53*E626+E812)/E68)</f>
        <v>0</v>
      </c>
      <c r="F998" s="30">
        <f>IF(F68&lt;1,-(F254+F440+F626+F812),-(F254+F440+'3. General Model Inputs'!$D$53*F626+F812)/F68)</f>
        <v>0</v>
      </c>
      <c r="G998" s="30">
        <f>IF(G68&lt;1,-(G254+G440+G626+G812),-(G254+G440+'3. General Model Inputs'!$D$53*G626+G812)/G68)</f>
        <v>-27252.674999999999</v>
      </c>
      <c r="H998" s="30">
        <f>IF(H68&lt;1,-(H254+H440+H626+H812),-(H254+H440+'3. General Model Inputs'!$D$53*H626+H812)/H68)</f>
        <v>-55204.136538461542</v>
      </c>
    </row>
    <row r="999" spans="2:8">
      <c r="B999" s="152">
        <f t="shared" si="34"/>
        <v>0</v>
      </c>
      <c r="D999" s="30">
        <f>IF(D69&lt;1,-(D255+D441+D627+D813),-(D255+D441+'3. General Model Inputs'!$D$53*D627+D813)/D69)</f>
        <v>0</v>
      </c>
      <c r="E999" s="30">
        <f>IF(E69&lt;1,-(E255+E441+E627+E813),-(E255+E441+'3. General Model Inputs'!$D$53*E627+E813)/E69)</f>
        <v>-2500</v>
      </c>
      <c r="F999" s="30">
        <f>IF(F69&lt;1,-(F255+F441+F627+F813),-(F255+F441+'3. General Model Inputs'!$D$53*F627+F813)/F69)</f>
        <v>-5064.1025641025644</v>
      </c>
      <c r="G999" s="30">
        <f>IF(G69&lt;1,-(G255+G441+G627+G813),-(G255+G441+'3. General Model Inputs'!$D$53*G627+G813)/G69)</f>
        <v>-5064.1025641025644</v>
      </c>
      <c r="H999" s="30">
        <f>IF(H69&lt;1,-(H255+H441+H627+H813),-(H255+H441+'3. General Model Inputs'!$D$53*H627+H813)/H69)</f>
        <v>-5064.1025641025644</v>
      </c>
    </row>
    <row r="1000" spans="2:8">
      <c r="B1000" s="152">
        <f t="shared" si="34"/>
        <v>0</v>
      </c>
      <c r="D1000" s="30">
        <f>IF(D70&lt;1,-(D256+D442+D628+D814),-(D256+D442+'3. General Model Inputs'!$D$53*D628+D814)/D70)</f>
        <v>0</v>
      </c>
      <c r="E1000" s="30">
        <f>IF(E70&lt;1,-(E256+E442+E628+E814),-(E256+E442+'3. General Model Inputs'!$D$53*E628+E814)/E70)</f>
        <v>0</v>
      </c>
      <c r="F1000" s="30">
        <f>IF(F70&lt;1,-(F256+F442+F628+F814),-(F256+F442+'3. General Model Inputs'!$D$53*F628+F814)/F70)</f>
        <v>-30918.825000000001</v>
      </c>
      <c r="G1000" s="30">
        <f>IF(G70&lt;1,-(G256+G442+G628+G814),-(G256+G442+'3. General Model Inputs'!$D$53*G628+G814)/G70)</f>
        <v>-62630.44038461538</v>
      </c>
      <c r="H1000" s="30">
        <f>IF(H70&lt;1,-(H256+H442+H628+H814),-(H256+H442+'3. General Model Inputs'!$D$53*H628+H814)/H70)</f>
        <v>-62630.440384615387</v>
      </c>
    </row>
    <row r="1001" spans="2:8">
      <c r="B1001" s="152">
        <f t="shared" si="34"/>
        <v>0</v>
      </c>
      <c r="D1001" s="30">
        <f>IF(D71&lt;1,-(D257+D443+D629+D815),-(D257+D443+'3. General Model Inputs'!$D$53*D629+D815)/D71)</f>
        <v>0</v>
      </c>
      <c r="E1001" s="30">
        <f>IF(E71&lt;1,-(E257+E443+E629+E815),-(E257+E443+'3. General Model Inputs'!$D$53*E629+E815)/E71)</f>
        <v>0</v>
      </c>
      <c r="F1001" s="30">
        <f>IF(F71&lt;1,-(F257+F443+F629+F815),-(F257+F443+'3. General Model Inputs'!$D$53*F629+F815)/F71)</f>
        <v>0</v>
      </c>
      <c r="G1001" s="30">
        <f>IF(G71&lt;1,-(G257+G443+G629+G815),-(G257+G443+'3. General Model Inputs'!$D$53*G629+G815)/G71)</f>
        <v>-17353.787499999999</v>
      </c>
      <c r="H1001" s="30">
        <f>IF(H71&lt;1,-(H257+H443+H629+H815),-(H257+H443+'3. General Model Inputs'!$D$53*H629+H815)/H71)</f>
        <v>-35152.543910256405</v>
      </c>
    </row>
    <row r="1002" spans="2:8">
      <c r="B1002" s="152">
        <f t="shared" si="34"/>
        <v>0</v>
      </c>
      <c r="D1002" s="30">
        <f>IF(D72&lt;1,-(D258+D444+D630+D816),-(D258+D444+'3. General Model Inputs'!$D$53*D630+D816)/D72)</f>
        <v>0</v>
      </c>
      <c r="E1002" s="30">
        <f>IF(E72&lt;1,-(E258+E444+E630+E816),-(E258+E444+'3. General Model Inputs'!$D$53*E630+E816)/E72)</f>
        <v>0</v>
      </c>
      <c r="F1002" s="30">
        <f>IF(F72&lt;1,-(F258+F444+F630+F816),-(F258+F444+'3. General Model Inputs'!$D$53*F630+F816)/F72)</f>
        <v>-2320.85</v>
      </c>
      <c r="G1002" s="30">
        <f>IF(G72&lt;1,-(G258+G444+G630+G816),-(G258+G444+'3. General Model Inputs'!$D$53*G630+G816)/G72)</f>
        <v>-4701.208974358974</v>
      </c>
      <c r="H1002" s="30">
        <f>IF(H72&lt;1,-(H258+H444+H630+H816),-(H258+H444+'3. General Model Inputs'!$D$53*H630+H816)/H72)</f>
        <v>-4701.208974358974</v>
      </c>
    </row>
    <row r="1003" spans="2:8">
      <c r="B1003" s="152">
        <f t="shared" si="34"/>
        <v>0</v>
      </c>
      <c r="D1003" s="30">
        <f>IF(D73&lt;1,-(D259+D445+D631+D817),-(D259+D445+'3. General Model Inputs'!$D$53*D631+D817)/D73)</f>
        <v>0</v>
      </c>
      <c r="E1003" s="30">
        <f>IF(E73&lt;1,-(E259+E445+E631+E817),-(E259+E445+'3. General Model Inputs'!$D$53*E631+E817)/E73)</f>
        <v>0</v>
      </c>
      <c r="F1003" s="30">
        <f>IF(F73&lt;1,-(F259+F445+F631+F817),-(F259+F445+'3. General Model Inputs'!$D$53*F631+F817)/F73)</f>
        <v>0</v>
      </c>
      <c r="G1003" s="30">
        <f>IF(G73&lt;1,-(G259+G445+G631+G817),-(G259+G445+'3. General Model Inputs'!$D$53*G631+G817)/G73)</f>
        <v>-26377.75</v>
      </c>
      <c r="H1003" s="30">
        <f>IF(H73&lt;1,-(H259+H445+H631+H817),-(H259+H445+'3. General Model Inputs'!$D$53*H631+H817)/H73)</f>
        <v>-53431.852564102563</v>
      </c>
    </row>
    <row r="1004" spans="2:8">
      <c r="B1004" s="152">
        <f t="shared" si="34"/>
        <v>0</v>
      </c>
      <c r="D1004" s="30">
        <f>IF(D74&lt;1,-(D260+D446+D632+D818),-(D260+D446+'3. General Model Inputs'!$D$53*D632+D818)/D74)</f>
        <v>0</v>
      </c>
      <c r="E1004" s="30">
        <f>IF(E74&lt;1,-(E260+E446+E632+E818),-(E260+E446+'3. General Model Inputs'!$D$53*E632+E818)/E74)</f>
        <v>0</v>
      </c>
      <c r="F1004" s="30">
        <f>IF(F74&lt;1,-(F260+F446+F632+F818),-(F260+F446+'3. General Model Inputs'!$D$53*F632+F818)/F74)</f>
        <v>0</v>
      </c>
      <c r="G1004" s="30">
        <f>IF(G74&lt;1,-(G260+G446+G632+G818),-(G260+G446+'3. General Model Inputs'!$D$53*G632+G818)/G74)</f>
        <v>0</v>
      </c>
      <c r="H1004" s="30">
        <f>IF(H74&lt;1,-(H260+H446+H632+H818),-(H260+H446+'3. General Model Inputs'!$D$53*H632+H818)/H74)</f>
        <v>-18573.862499999999</v>
      </c>
    </row>
    <row r="1005" spans="2:8">
      <c r="B1005" s="152">
        <f t="shared" si="34"/>
        <v>0</v>
      </c>
      <c r="D1005" s="30">
        <f>IF(D75&lt;1,-(D261+D447+D633+D819),-(D261+D447+'3. General Model Inputs'!$D$53*D633+D819)/D75)</f>
        <v>-6281.4264999999996</v>
      </c>
      <c r="E1005" s="30">
        <f>IF(E75&lt;1,-(E261+E447+E633+E819),-(E261+E447+'3. General Model Inputs'!$D$53*E633+E819)/E75)</f>
        <v>-12642.364727848102</v>
      </c>
      <c r="F1005" s="30">
        <f>IF(F75&lt;1,-(F261+F447+F633+F819),-(F261+F447+'3. General Model Inputs'!$D$53*F633+F819)/F75)</f>
        <v>-12642.364727848102</v>
      </c>
      <c r="G1005" s="30">
        <f>IF(G75&lt;1,-(G261+G447+G633+G819),-(G261+G447+'3. General Model Inputs'!$D$53*G633+G819)/G75)</f>
        <v>-12642.364727848102</v>
      </c>
      <c r="H1005" s="30">
        <f>IF(H75&lt;1,-(H261+H447+H633+H819),-(H261+H447+'3. General Model Inputs'!$D$53*H633+H819)/H75)</f>
        <v>-12642.364727848102</v>
      </c>
    </row>
    <row r="1006" spans="2:8">
      <c r="B1006" s="152">
        <f t="shared" si="34"/>
        <v>0</v>
      </c>
      <c r="D1006" s="30">
        <f>IF(D76&lt;1,-(D262+D448+D634+D820),-(D262+D448+'3. General Model Inputs'!$D$53*D634+D820)/D76)</f>
        <v>0</v>
      </c>
      <c r="E1006" s="30">
        <f>IF(E76&lt;1,-(E262+E448+E634+E820),-(E262+E448+'3. General Model Inputs'!$D$53*E634+E820)/E76)</f>
        <v>-12628.502937499999</v>
      </c>
      <c r="F1006" s="30">
        <f>IF(F76&lt;1,-(F262+F448+F634+F820),-(F262+F448+'3. General Model Inputs'!$D$53*F634+F820)/F76)</f>
        <v>-25416.860342563294</v>
      </c>
      <c r="G1006" s="30">
        <f>IF(G76&lt;1,-(G262+G448+G634+G820),-(G262+G448+'3. General Model Inputs'!$D$53*G634+G820)/G76)</f>
        <v>-25416.86034256329</v>
      </c>
      <c r="H1006" s="30">
        <f>IF(H76&lt;1,-(H262+H448+H634+H820),-(H262+H448+'3. General Model Inputs'!$D$53*H634+H820)/H76)</f>
        <v>-25416.86034256329</v>
      </c>
    </row>
    <row r="1007" spans="2:8">
      <c r="B1007" s="152">
        <f t="shared" si="34"/>
        <v>0</v>
      </c>
      <c r="D1007" s="30">
        <f>IF(D77&lt;1,-(D263+D449+D635+D821),-(D263+D449+'3. General Model Inputs'!$D$53*D635+D821)/D77)</f>
        <v>0</v>
      </c>
      <c r="E1007" s="30">
        <f>IF(E77&lt;1,-(E263+E449+E635+E821),-(E263+E449+'3. General Model Inputs'!$D$53*E635+E821)/E77)</f>
        <v>0</v>
      </c>
      <c r="F1007" s="30">
        <f>IF(F77&lt;1,-(F263+F449+F635+F821),-(F263+F449+'3. General Model Inputs'!$D$53*F635+F821)/F77)</f>
        <v>-2067.3937500000002</v>
      </c>
      <c r="G1007" s="30">
        <f>IF(G77&lt;1,-(G263+G449+G635+G821),-(G263+G449+'3. General Model Inputs'!$D$53*G635+G821)/G77)</f>
        <v>-4160.9570411392406</v>
      </c>
      <c r="H1007" s="30">
        <f>IF(H77&lt;1,-(H263+H449+H635+H821),-(H263+H449+'3. General Model Inputs'!$D$53*H635+H821)/H77)</f>
        <v>-4160.9570411392406</v>
      </c>
    </row>
    <row r="1008" spans="2:8">
      <c r="B1008" s="152">
        <f t="shared" si="34"/>
        <v>0</v>
      </c>
      <c r="D1008" s="30">
        <f>IF(D78&lt;1,-(D264+D450+D636+D822),-(D264+D450+'3. General Model Inputs'!$D$53*D636+D822)/D78)</f>
        <v>-50023.15083333334</v>
      </c>
      <c r="E1008" s="30">
        <f>IF(E78&lt;1,-(E264+E450+E636+E822),-(E264+E450+'3. General Model Inputs'!$D$53*E636+E822)/E78)</f>
        <v>-101771.23790229886</v>
      </c>
      <c r="F1008" s="30">
        <f>IF(F78&lt;1,-(F264+F450+F636+F822),-(F264+F450+'3. General Model Inputs'!$D$53*F636+F822)/F78)</f>
        <v>-101771.23790229885</v>
      </c>
      <c r="G1008" s="30">
        <f>IF(G78&lt;1,-(G264+G450+G636+G822),-(G264+G450+'3. General Model Inputs'!$D$53*G636+G822)/G78)</f>
        <v>-101771.23790229885</v>
      </c>
      <c r="H1008" s="30">
        <f>IF(H78&lt;1,-(H264+H450+H636+H822),-(H264+H450+'3. General Model Inputs'!$D$53*H636+H822)/H78)</f>
        <v>-101771.23790229883</v>
      </c>
    </row>
    <row r="1009" spans="2:8">
      <c r="B1009" s="152">
        <f t="shared" si="34"/>
        <v>0</v>
      </c>
      <c r="D1009" s="30">
        <f>IF(D79&lt;1,-(D265+D451+D637+D823),-(D265+D451+'3. General Model Inputs'!$D$53*D637+D823)/D79)</f>
        <v>0</v>
      </c>
      <c r="E1009" s="30">
        <f>IF(E79&lt;1,-(E265+E451+E637+E823),-(E265+E451+'3. General Model Inputs'!$D$53*E637+E823)/E79)</f>
        <v>-1341.1825000000001</v>
      </c>
      <c r="F1009" s="30">
        <f>IF(F79&lt;1,-(F265+F451+F637+F823),-(F265+F451+'3. General Model Inputs'!$D$53*F637+F823)/F79)</f>
        <v>-2728.6126724137935</v>
      </c>
      <c r="G1009" s="30">
        <f>IF(G79&lt;1,-(G265+G451+G637+G823),-(G265+G451+'3. General Model Inputs'!$D$53*G637+G823)/G79)</f>
        <v>-2728.6126724137939</v>
      </c>
      <c r="H1009" s="30">
        <f>IF(H79&lt;1,-(H265+H451+H637+H823),-(H265+H451+'3. General Model Inputs'!$D$53*H637+H823)/H79)</f>
        <v>-2728.6126724137944</v>
      </c>
    </row>
    <row r="1010" spans="2:8">
      <c r="B1010" s="152">
        <f t="shared" si="34"/>
        <v>0</v>
      </c>
      <c r="D1010" s="30">
        <f>IF(D80&lt;1,-(D266+D452+D638+D824),-(D266+D452+'3. General Model Inputs'!$D$53*D638+D824)/D80)</f>
        <v>-3208.2370999999998</v>
      </c>
      <c r="E1010" s="30">
        <f>IF(E80&lt;1,-(E266+E452+E638+E824),-(E266+E452+'3. General Model Inputs'!$D$53*E638+E824)/E80)</f>
        <v>-6481.948426530611</v>
      </c>
      <c r="F1010" s="30">
        <f>IF(F80&lt;1,-(F266+F452+F638+F824),-(F266+F452+'3. General Model Inputs'!$D$53*F638+F824)/F80)</f>
        <v>-6481.94842653061</v>
      </c>
      <c r="G1010" s="30">
        <f>IF(G80&lt;1,-(G266+G452+G638+G824),-(G266+G452+'3. General Model Inputs'!$D$53*G638+G824)/G80)</f>
        <v>-6481.94842653061</v>
      </c>
      <c r="H1010" s="30">
        <f>IF(H80&lt;1,-(H266+H452+H638+H824),-(H266+H452+'3. General Model Inputs'!$D$53*H638+H824)/H80)</f>
        <v>-6481.9484265306091</v>
      </c>
    </row>
    <row r="1011" spans="2:8">
      <c r="B1011" s="152">
        <f t="shared" si="34"/>
        <v>0</v>
      </c>
      <c r="D1011" s="30">
        <f>IF(D81&lt;1,-(D267+D453+D639+D825),-(D267+D453+'3. General Model Inputs'!$D$53*D639+D825)/D81)</f>
        <v>0</v>
      </c>
      <c r="E1011" s="30">
        <f>IF(E81&lt;1,-(E267+E453+E639+E825),-(E267+E453+'3. General Model Inputs'!$D$53*E639+E825)/E81)</f>
        <v>-17926.179799999998</v>
      </c>
      <c r="F1011" s="30">
        <f>IF(F81&lt;1,-(F267+F453+F639+F825),-(F267+F453+'3. General Model Inputs'!$D$53*F639+F825)/F81)</f>
        <v>-36218.200004081635</v>
      </c>
      <c r="G1011" s="30">
        <f>IF(G81&lt;1,-(G267+G453+G639+G825),-(G267+G453+'3. General Model Inputs'!$D$53*G639+G825)/G81)</f>
        <v>-36218.200004081627</v>
      </c>
      <c r="H1011" s="30">
        <f>IF(H81&lt;1,-(H267+H453+H639+H825),-(H267+H453+'3. General Model Inputs'!$D$53*H639+H825)/H81)</f>
        <v>-36218.200004081627</v>
      </c>
    </row>
    <row r="1012" spans="2:8">
      <c r="B1012" s="152">
        <f t="shared" si="34"/>
        <v>0</v>
      </c>
      <c r="D1012" s="30">
        <f>IF(D82&lt;1,-(D268+D454+D640+D826),-(D268+D454+'3. General Model Inputs'!$D$53*D640+D826)/D82)</f>
        <v>0</v>
      </c>
      <c r="E1012" s="30">
        <f>IF(E82&lt;1,-(E268+E454+E640+E826),-(E268+E454+'3. General Model Inputs'!$D$53*E640+E826)/E82)</f>
        <v>0</v>
      </c>
      <c r="F1012" s="30">
        <f>IF(F82&lt;1,-(F268+F454+F640+F826),-(F268+F454+'3. General Model Inputs'!$D$53*F640+F826)/F82)</f>
        <v>-500</v>
      </c>
      <c r="G1012" s="30">
        <f>IF(G82&lt;1,-(G268+G454+G640+G826),-(G268+G454+'3. General Model Inputs'!$D$53*G640+G826)/G82)</f>
        <v>-1010.204081632653</v>
      </c>
      <c r="H1012" s="30">
        <f>IF(H82&lt;1,-(H268+H454+H640+H826),-(H268+H454+'3. General Model Inputs'!$D$53*H640+H826)/H82)</f>
        <v>-1010.204081632653</v>
      </c>
    </row>
    <row r="1013" spans="2:8">
      <c r="B1013" s="152">
        <f t="shared" si="34"/>
        <v>0</v>
      </c>
      <c r="D1013" s="30">
        <f>IF(D83&lt;1,-(D269+D455+D641+D827),-(D269+D455+'3. General Model Inputs'!$D$53*D641+D827)/D83)</f>
        <v>0</v>
      </c>
      <c r="E1013" s="30">
        <f>IF(E83&lt;1,-(E269+E455+E641+E827),-(E269+E455+'3. General Model Inputs'!$D$53*E641+E827)/E83)</f>
        <v>0</v>
      </c>
      <c r="F1013" s="30">
        <f>IF(F83&lt;1,-(F269+F455+F641+F827),-(F269+F455+'3. General Model Inputs'!$D$53*F641+F827)/F83)</f>
        <v>0</v>
      </c>
      <c r="G1013" s="30">
        <f>IF(G83&lt;1,-(G269+G455+G641+G827),-(G269+G455+'3. General Model Inputs'!$D$53*G641+G827)/G83)</f>
        <v>-3470.7624999999998</v>
      </c>
      <c r="H1013" s="30">
        <f>IF(H83&lt;1,-(H269+H455+H641+H827),-(H269+H455+'3. General Model Inputs'!$D$53*H641+H827)/H83)</f>
        <v>-7030.51891025641</v>
      </c>
    </row>
    <row r="1014" spans="2:8">
      <c r="B1014" s="152">
        <f t="shared" si="34"/>
        <v>0</v>
      </c>
      <c r="D1014" s="30">
        <f>IF(D84&lt;1,-(D270+D456+D642+D828),-(D270+D456+'3. General Model Inputs'!$D$53*D642+D828)/D84)</f>
        <v>0</v>
      </c>
      <c r="E1014" s="30">
        <f>IF(E84&lt;1,-(E270+E456+E642+E828),-(E270+E456+'3. General Model Inputs'!$D$53*E642+E828)/E84)</f>
        <v>0</v>
      </c>
      <c r="F1014" s="30">
        <f>IF(F84&lt;1,-(F270+F456+F642+F828),-(F270+F456+'3. General Model Inputs'!$D$53*F642+F828)/F84)</f>
        <v>0</v>
      </c>
      <c r="G1014" s="30">
        <f>IF(G84&lt;1,-(G270+G456+G642+G828),-(G270+G456+'3. General Model Inputs'!$D$53*G642+G828)/G84)</f>
        <v>0</v>
      </c>
      <c r="H1014" s="30">
        <f>IF(H84&lt;1,-(H270+H456+H642+H828),-(H270+H456+'3. General Model Inputs'!$D$53*H642+H828)/H84)</f>
        <v>-23217.325000000001</v>
      </c>
    </row>
    <row r="1015" spans="2:8">
      <c r="B1015" s="152">
        <f t="shared" si="34"/>
        <v>0</v>
      </c>
      <c r="D1015" s="30">
        <f>IF(D85&lt;1,-(D271+D457+D643+D829),-(D271+D457+'3. General Model Inputs'!$D$53*D643+D829)/D85)</f>
        <v>-1058.6768333333332</v>
      </c>
      <c r="E1015" s="30">
        <f>IF(E85&lt;1,-(E271+E457+E643+E829),-(E271+E457+'3. General Model Inputs'!$D$53*E643+E829)/E85)</f>
        <v>-2135.2973418079096</v>
      </c>
      <c r="F1015" s="30">
        <f>IF(F85&lt;1,-(F271+F457+F643+F829),-(F271+F457+'3. General Model Inputs'!$D$53*F643+F829)/F85)</f>
        <v>-2135.2973418079096</v>
      </c>
      <c r="G1015" s="30">
        <f>IF(G85&lt;1,-(G271+G457+G643+G829),-(G271+G457+'3. General Model Inputs'!$D$53*G643+G829)/G85)</f>
        <v>-2135.2973418079096</v>
      </c>
      <c r="H1015" s="30">
        <f>IF(H85&lt;1,-(H271+H457+H643+H829),-(H271+H457+'3. General Model Inputs'!$D$53*H643+H829)/H85)</f>
        <v>-2135.2973418079096</v>
      </c>
    </row>
    <row r="1016" spans="2:8">
      <c r="B1016" s="152">
        <f t="shared" ref="B1016:B1079" si="35">B830</f>
        <v>0</v>
      </c>
      <c r="D1016" s="30">
        <f>IF(D86&lt;1,-(D272+D458+D644+D830),-(D272+D458+'3. General Model Inputs'!$D$53*D644+D830)/D86)</f>
        <v>0</v>
      </c>
      <c r="E1016" s="30">
        <f>IF(E86&lt;1,-(E272+E458+E644+E830),-(E272+E458+'3. General Model Inputs'!$D$53*E644+E830)/E86)</f>
        <v>-4088.7635</v>
      </c>
      <c r="F1016" s="30">
        <f>IF(F86&lt;1,-(F272+F458+F644+F830),-(F272+F458+'3. General Model Inputs'!$D$53*F644+F830)/F86)</f>
        <v>-8246.8280762711856</v>
      </c>
      <c r="G1016" s="30">
        <f>IF(G86&lt;1,-(G272+G458+G644+G830),-(G272+G458+'3. General Model Inputs'!$D$53*G644+G830)/G86)</f>
        <v>-8246.8280762711875</v>
      </c>
      <c r="H1016" s="30">
        <f>IF(H86&lt;1,-(H272+H458+H644+H830),-(H272+H458+'3. General Model Inputs'!$D$53*H644+H830)/H86)</f>
        <v>-8246.8280762711875</v>
      </c>
    </row>
    <row r="1017" spans="2:8">
      <c r="B1017" s="152">
        <f t="shared" si="35"/>
        <v>0</v>
      </c>
      <c r="D1017" s="30">
        <f>IF(D87&lt;1,-(D273+D459+D645+D831),-(D273+D459+'3. General Model Inputs'!$D$53*D645+D831)/D87)</f>
        <v>0</v>
      </c>
      <c r="E1017" s="30">
        <f>IF(E87&lt;1,-(E273+E459+E645+E831),-(E273+E459+'3. General Model Inputs'!$D$53*E645+E831)/E87)</f>
        <v>0</v>
      </c>
      <c r="F1017" s="30">
        <f>IF(F87&lt;1,-(F273+F459+F645+F831),-(F273+F459+'3. General Model Inputs'!$D$53*F645+F831)/F87)</f>
        <v>-3600.8416666666667</v>
      </c>
      <c r="G1017" s="30">
        <f>IF(G87&lt;1,-(G273+G459+G645+G831),-(G273+G459+'3. General Model Inputs'!$D$53*G645+G831)/G87)</f>
        <v>-7262.714548022599</v>
      </c>
      <c r="H1017" s="30">
        <f>IF(H87&lt;1,-(H273+H459+H645+H831),-(H273+H459+'3. General Model Inputs'!$D$53*H645+H831)/H87)</f>
        <v>-7262.714548022599</v>
      </c>
    </row>
    <row r="1018" spans="2:8">
      <c r="B1018" s="152">
        <f t="shared" si="35"/>
        <v>0</v>
      </c>
      <c r="D1018" s="30">
        <f>IF(D88&lt;1,-(D274+D460+D646+D832),-(D274+D460+'3. General Model Inputs'!$D$53*D646+D832)/D88)</f>
        <v>0</v>
      </c>
      <c r="E1018" s="30">
        <f>IF(E88&lt;1,-(E274+E460+E646+E832),-(E274+E460+'3. General Model Inputs'!$D$53*E646+E832)/E88)</f>
        <v>0</v>
      </c>
      <c r="F1018" s="30">
        <f>IF(F88&lt;1,-(F274+F460+F646+F832),-(F274+F460+'3. General Model Inputs'!$D$53*F646+F832)/F88)</f>
        <v>0</v>
      </c>
      <c r="G1018" s="30">
        <f>IF(G88&lt;1,-(G274+G460+G646+G832),-(G274+G460+'3. General Model Inputs'!$D$53*G646+G832)/G88)</f>
        <v>-3702.1416666666669</v>
      </c>
      <c r="H1018" s="30">
        <f>IF(H88&lt;1,-(H274+H460+H646+H832),-(H274+H460+'3. General Model Inputs'!$D$53*H646+H832)/H88)</f>
        <v>-7467.0314971751413</v>
      </c>
    </row>
    <row r="1019" spans="2:8">
      <c r="B1019" s="152">
        <f t="shared" si="35"/>
        <v>0</v>
      </c>
      <c r="D1019" s="30">
        <f>IF(D89&lt;1,-(D275+D461+D647+D833),-(D275+D461+'3. General Model Inputs'!$D$53*D647+D833)/D89)</f>
        <v>0</v>
      </c>
      <c r="E1019" s="30">
        <f>IF(E89&lt;1,-(E275+E461+E647+E833),-(E275+E461+'3. General Model Inputs'!$D$53*E647+E833)/E89)</f>
        <v>0</v>
      </c>
      <c r="F1019" s="30">
        <f>IF(F89&lt;1,-(F275+F461+F647+F833),-(F275+F461+'3. General Model Inputs'!$D$53*F647+F833)/F89)</f>
        <v>0</v>
      </c>
      <c r="G1019" s="30">
        <f>IF(G89&lt;1,-(G275+G461+G647+G833),-(G275+G461+'3. General Model Inputs'!$D$53*G647+G833)/G89)</f>
        <v>0</v>
      </c>
      <c r="H1019" s="30">
        <f>IF(H89&lt;1,-(H275+H461+H647+H833),-(H275+H461+'3. General Model Inputs'!$D$53*H647+H833)/H89)</f>
        <v>-3810.0250000000001</v>
      </c>
    </row>
    <row r="1020" spans="2:8">
      <c r="B1020" s="152">
        <f t="shared" si="35"/>
        <v>0</v>
      </c>
      <c r="D1020" s="30">
        <f>IF(D90&lt;1,-(D276+D462+D648+D834),-(D276+D462+'3. General Model Inputs'!$D$53*D648+D834)/D90)</f>
        <v>-2046.4913749999996</v>
      </c>
      <c r="E1020" s="30">
        <f>IF(E90&lt;1,-(E276+E462+E648+E834),-(E276+E462+'3. General Model Inputs'!$D$53*E648+E834)/E90)</f>
        <v>-4118.8877041139231</v>
      </c>
      <c r="F1020" s="30">
        <f>IF(F90&lt;1,-(F276+F462+F648+F834),-(F276+F462+'3. General Model Inputs'!$D$53*F648+F834)/F90)</f>
        <v>-4118.887704113924</v>
      </c>
      <c r="G1020" s="30">
        <f>IF(G90&lt;1,-(G276+G462+G648+G834),-(G276+G462+'3. General Model Inputs'!$D$53*G648+G834)/G90)</f>
        <v>-4118.887704113924</v>
      </c>
      <c r="H1020" s="30">
        <f>IF(H90&lt;1,-(H276+H462+H648+H834),-(H276+H462+'3. General Model Inputs'!$D$53*H648+H834)/H90)</f>
        <v>-4118.887704113924</v>
      </c>
    </row>
    <row r="1021" spans="2:8">
      <c r="B1021" s="152">
        <f t="shared" si="35"/>
        <v>0</v>
      </c>
      <c r="D1021" s="30">
        <f>IF(D91&lt;1,-(D277+D463+D649+D835),-(D277+D463+'3. General Model Inputs'!$D$53*D649+D835)/D91)</f>
        <v>0</v>
      </c>
      <c r="E1021" s="30">
        <f>IF(E91&lt;1,-(E277+E463+E649+E835),-(E277+E463+'3. General Model Inputs'!$D$53*E649+E835)/E91)</f>
        <v>-9960.2533750000002</v>
      </c>
      <c r="F1021" s="30">
        <f>IF(F91&lt;1,-(F277+F463+F649+F835),-(F277+F463+'3. General Model Inputs'!$D$53*F649+F835)/F91)</f>
        <v>-20046.585906645571</v>
      </c>
      <c r="G1021" s="30">
        <f>IF(G91&lt;1,-(G277+G463+G649+G835),-(G277+G463+'3. General Model Inputs'!$D$53*G649+G835)/G91)</f>
        <v>-20046.585906645571</v>
      </c>
      <c r="H1021" s="30">
        <f>IF(H91&lt;1,-(H277+H463+H649+H835),-(H277+H463+'3. General Model Inputs'!$D$53*H649+H835)/H91)</f>
        <v>-20046.585906645571</v>
      </c>
    </row>
    <row r="1022" spans="2:8">
      <c r="B1022" s="152">
        <f t="shared" si="35"/>
        <v>0</v>
      </c>
      <c r="D1022" s="30">
        <f>IF(D92&lt;1,-(D278+D464+D650+D836),-(D278+D464+'3. General Model Inputs'!$D$53*D650+D836)/D92)</f>
        <v>0</v>
      </c>
      <c r="E1022" s="30">
        <f>IF(E92&lt;1,-(E278+E464+E650+E836),-(E278+E464+'3. General Model Inputs'!$D$53*E650+E836)/E92)</f>
        <v>0</v>
      </c>
      <c r="F1022" s="30">
        <f>IF(F92&lt;1,-(F278+F464+F650+F836),-(F278+F464+'3. General Model Inputs'!$D$53*F650+F836)/F92)</f>
        <v>-900.20833333333337</v>
      </c>
      <c r="G1022" s="30">
        <f>IF(G92&lt;1,-(G278+G464+G650+G836),-(G278+G464+'3. General Model Inputs'!$D$53*G650+G836)/G92)</f>
        <v>-1815.6744350282486</v>
      </c>
      <c r="H1022" s="30">
        <f>IF(H92&lt;1,-(H278+H464+H650+H836),-(H278+H464+'3. General Model Inputs'!$D$53*H650+H836)/H92)</f>
        <v>-1815.6744350282486</v>
      </c>
    </row>
    <row r="1023" spans="2:8">
      <c r="B1023" s="152">
        <f t="shared" si="35"/>
        <v>0</v>
      </c>
      <c r="D1023" s="30">
        <f>IF(D93&lt;1,-(D279+D465+D651+D837),-(D279+D465+'3. General Model Inputs'!$D$53*D651+D837)/D93)</f>
        <v>0</v>
      </c>
      <c r="E1023" s="30">
        <f>IF(E93&lt;1,-(E279+E465+E651+E837),-(E279+E465+'3. General Model Inputs'!$D$53*E651+E837)/E93)</f>
        <v>0</v>
      </c>
      <c r="F1023" s="30">
        <f>IF(F93&lt;1,-(F279+F465+F651+F837),-(F279+F465+'3. General Model Inputs'!$D$53*F651+F837)/F93)</f>
        <v>0</v>
      </c>
      <c r="G1023" s="30">
        <f>IF(G93&lt;1,-(G279+G465+G651+G837),-(G279+G465+'3. General Model Inputs'!$D$53*G651+G837)/G93)</f>
        <v>-9561.1</v>
      </c>
      <c r="H1023" s="30">
        <f>IF(H93&lt;1,-(H279+H465+H651+H837),-(H279+H465+'3. General Model Inputs'!$D$53*H651+H837)/H93)</f>
        <v>-19284.25254237288</v>
      </c>
    </row>
    <row r="1024" spans="2:8">
      <c r="B1024" s="152">
        <f t="shared" si="35"/>
        <v>0</v>
      </c>
      <c r="D1024" s="30">
        <f>IF(D94&lt;1,-(D280+D466+D652+D838),-(D280+D466+'3. General Model Inputs'!$D$53*D652+D838)/D94)</f>
        <v>0</v>
      </c>
      <c r="E1024" s="30">
        <f>IF(E94&lt;1,-(E280+E466+E652+E838),-(E280+E466+'3. General Model Inputs'!$D$53*E652+E838)/E94)</f>
        <v>0</v>
      </c>
      <c r="F1024" s="30">
        <f>IF(F94&lt;1,-(F280+F466+F652+F838),-(F280+F466+'3. General Model Inputs'!$D$53*F652+F838)/F94)</f>
        <v>0</v>
      </c>
      <c r="G1024" s="30">
        <f>IF(G94&lt;1,-(G280+G466+G652+G838),-(G280+G466+'3. General Model Inputs'!$D$53*G652+G838)/G94)</f>
        <v>-1388.3</v>
      </c>
      <c r="H1024" s="30">
        <f>IF(H94&lt;1,-(H280+H466+H652+H838),-(H280+H466+'3. General Model Inputs'!$D$53*H652+H838)/H94)</f>
        <v>-2812.1974358974358</v>
      </c>
    </row>
    <row r="1025" spans="2:8">
      <c r="B1025" s="152">
        <f t="shared" si="35"/>
        <v>0</v>
      </c>
      <c r="D1025" s="30">
        <f>IF(D95&lt;1,-(D281+D467+D653+D839),-(D281+D467+'3. General Model Inputs'!$D$53*D653+D839)/D95)</f>
        <v>0</v>
      </c>
      <c r="E1025" s="30">
        <f>IF(E95&lt;1,-(E281+E467+E653+E839),-(E281+E467+'3. General Model Inputs'!$D$53*E653+E839)/E95)</f>
        <v>0</v>
      </c>
      <c r="F1025" s="30">
        <f>IF(F95&lt;1,-(F281+F467+F653+F839),-(F281+F467+'3. General Model Inputs'!$D$53*F653+F839)/F95)</f>
        <v>0</v>
      </c>
      <c r="G1025" s="30">
        <f>IF(G95&lt;1,-(G281+G467+G653+G839),-(G281+G467+'3. General Model Inputs'!$D$53*G653+G839)/G95)</f>
        <v>0</v>
      </c>
      <c r="H1025" s="30">
        <f>IF(H95&lt;1,-(H281+H467+H653+H839),-(H281+H467+'3. General Model Inputs'!$D$53*H653+H839)/H95)</f>
        <v>-13019.5625</v>
      </c>
    </row>
    <row r="1026" spans="2:8">
      <c r="B1026" s="152">
        <f t="shared" si="35"/>
        <v>0</v>
      </c>
      <c r="D1026" s="30">
        <f>IF(D96&lt;1,-(D282+D468+D654+D840),-(D282+D468+'3. General Model Inputs'!$D$53*D654+D840)/D96)</f>
        <v>-4864.4277500000007</v>
      </c>
      <c r="E1026" s="30">
        <f>IF(E96&lt;1,-(E282+E468+E654+E840),-(E282+E468+'3. General Model Inputs'!$D$53*E654+E840)/E96)</f>
        <v>-9853.5844166666684</v>
      </c>
      <c r="F1026" s="30">
        <f>IF(F96&lt;1,-(F282+F468+F654+F840),-(F282+F468+'3. General Model Inputs'!$D$53*F654+F840)/F96)</f>
        <v>-9853.5844166666684</v>
      </c>
      <c r="G1026" s="30">
        <f>IF(G96&lt;1,-(G282+G468+G654+G840),-(G282+G468+'3. General Model Inputs'!$D$53*G654+G840)/G96)</f>
        <v>-9853.5844166666684</v>
      </c>
      <c r="H1026" s="30">
        <f>IF(H96&lt;1,-(H282+H468+H654+H840),-(H282+H468+'3. General Model Inputs'!$D$53*H654+H840)/H96)</f>
        <v>-9853.5844166666702</v>
      </c>
    </row>
    <row r="1027" spans="2:8">
      <c r="B1027" s="152">
        <f t="shared" si="35"/>
        <v>0</v>
      </c>
      <c r="D1027" s="30">
        <f>IF(D97&lt;1,-(D283+D469+D655+D841),-(D283+D469+'3. General Model Inputs'!$D$53*D655+D841)/D97)</f>
        <v>0</v>
      </c>
      <c r="E1027" s="30">
        <f>IF(E97&lt;1,-(E283+E469+E655+E841),-(E283+E469+'3. General Model Inputs'!$D$53*E655+E841)/E97)</f>
        <v>-8894.5969999999998</v>
      </c>
      <c r="F1027" s="30">
        <f>IF(F97&lt;1,-(F283+F469+F655+F841),-(F283+F469+'3. General Model Inputs'!$D$53*F655+F841)/F97)</f>
        <v>-18017.26058974359</v>
      </c>
      <c r="G1027" s="30">
        <f>IF(G97&lt;1,-(G283+G469+G655+G841),-(G283+G469+'3. General Model Inputs'!$D$53*G655+G841)/G97)</f>
        <v>-18017.26058974359</v>
      </c>
      <c r="H1027" s="30">
        <f>IF(H97&lt;1,-(H283+H469+H655+H841),-(H283+H469+'3. General Model Inputs'!$D$53*H655+H841)/H97)</f>
        <v>-18017.26058974359</v>
      </c>
    </row>
    <row r="1028" spans="2:8">
      <c r="B1028" s="152">
        <f t="shared" si="35"/>
        <v>0</v>
      </c>
      <c r="D1028" s="30">
        <f>IF(D98&lt;1,-(D284+D470+D656+D842),-(D284+D470+'3. General Model Inputs'!$D$53*D656+D842)/D98)</f>
        <v>0</v>
      </c>
      <c r="E1028" s="30">
        <f>IF(E98&lt;1,-(E284+E470+E656+E842),-(E284+E470+'3. General Model Inputs'!$D$53*E656+E842)/E98)</f>
        <v>0</v>
      </c>
      <c r="F1028" s="30">
        <f>IF(F98&lt;1,-(F284+F470+F656+F842),-(F284+F470+'3. General Model Inputs'!$D$53*F656+F842)/F98)</f>
        <v>0</v>
      </c>
      <c r="G1028" s="30">
        <f>IF(G98&lt;1,-(G284+G470+G656+G842),-(G284+G470+'3. General Model Inputs'!$D$53*G656+G842)/G98)</f>
        <v>-5206.1374999999998</v>
      </c>
      <c r="H1028" s="30">
        <f>IF(H98&lt;1,-(H284+H470+H656+H842),-(H284+H470+'3. General Model Inputs'!$D$53*H656+H842)/H98)</f>
        <v>-10545.765705128204</v>
      </c>
    </row>
    <row r="1029" spans="2:8">
      <c r="B1029" s="152">
        <f t="shared" si="35"/>
        <v>0</v>
      </c>
      <c r="D1029" s="30">
        <f>IF(D99&lt;1,-(D285+D471+D657+D843),-(D285+D471+'3. General Model Inputs'!$D$53*D657+D843)/D99)</f>
        <v>0</v>
      </c>
      <c r="E1029" s="30">
        <f>IF(E99&lt;1,-(E285+E471+E657+E843),-(E285+E471+'3. General Model Inputs'!$D$53*E657+E843)/E99)</f>
        <v>0</v>
      </c>
      <c r="F1029" s="30">
        <f>IF(F99&lt;1,-(F285+F471+F657+F843),-(F285+F471+'3. General Model Inputs'!$D$53*F657+F843)/F99)</f>
        <v>0</v>
      </c>
      <c r="G1029" s="30">
        <f>IF(G99&lt;1,-(G285+G471+G657+G843),-(G285+G471+'3. General Model Inputs'!$D$53*G657+G843)/G99)</f>
        <v>0</v>
      </c>
      <c r="H1029" s="30">
        <f>IF(H99&lt;1,-(H285+H471+H657+H843),-(H285+H471+'3. General Model Inputs'!$D$53*H657+H843)/H99)</f>
        <v>-7322.3874999999998</v>
      </c>
    </row>
    <row r="1030" spans="2:8">
      <c r="B1030" s="152">
        <f t="shared" si="35"/>
        <v>0</v>
      </c>
      <c r="D1030" s="30">
        <f>IF(D100&lt;1,-(D286+D472+D658+D844),-(D286+D472+'3. General Model Inputs'!$D$53*D658+D844)/D100)</f>
        <v>0</v>
      </c>
      <c r="E1030" s="30">
        <f>IF(E100&lt;1,-(E286+E472+E658+E844),-(E286+E472+'3. General Model Inputs'!$D$53*E658+E844)/E100)</f>
        <v>0</v>
      </c>
      <c r="F1030" s="30">
        <f>IF(F100&lt;1,-(F286+F472+F658+F844),-(F286+F472+'3. General Model Inputs'!$D$53*F658+F844)/F100)</f>
        <v>0</v>
      </c>
      <c r="G1030" s="30">
        <f>IF(G100&lt;1,-(G286+G472+G658+G844),-(G286+G472+'3. General Model Inputs'!$D$53*G658+G844)/G100)</f>
        <v>-1388.3</v>
      </c>
      <c r="H1030" s="30">
        <f>IF(H100&lt;1,-(H286+H472+H658+H844),-(H286+H472+'3. General Model Inputs'!$D$53*H658+H844)/H100)</f>
        <v>-2804.9326530612248</v>
      </c>
    </row>
    <row r="1031" spans="2:8">
      <c r="B1031" s="152">
        <f t="shared" si="35"/>
        <v>0</v>
      </c>
      <c r="D1031" s="30">
        <f>IF(D101&lt;1,-(D287+D473+D659+D845),-(D287+D473+'3. General Model Inputs'!$D$53*D659+D845)/D101)</f>
        <v>0</v>
      </c>
      <c r="E1031" s="30">
        <f>IF(E101&lt;1,-(E287+E473+E659+E845),-(E287+E473+'3. General Model Inputs'!$D$53*E659+E845)/E101)</f>
        <v>0</v>
      </c>
      <c r="F1031" s="30">
        <f>IF(F101&lt;1,-(F287+F473+F659+F845),-(F287+F473+'3. General Model Inputs'!$D$53*F659+F845)/F101)</f>
        <v>0</v>
      </c>
      <c r="G1031" s="30">
        <f>IF(G101&lt;1,-(G287+G473+G659+G845),-(G287+G473+'3. General Model Inputs'!$D$53*G659+G845)/G101)</f>
        <v>0</v>
      </c>
      <c r="H1031" s="30">
        <f>IF(H101&lt;1,-(H287+H473+H659+H845),-(H287+H473+'3. General Model Inputs'!$D$53*H659+H845)/H101)</f>
        <v>-8572.5499999999993</v>
      </c>
    </row>
    <row r="1032" spans="2:8">
      <c r="B1032" s="152">
        <f t="shared" si="35"/>
        <v>0</v>
      </c>
      <c r="D1032" s="30">
        <f>IF(D102&lt;1,-(D288+D474+D660+D846),-(D288+D474+'3. General Model Inputs'!$D$53*D660+D846)/D102)</f>
        <v>0</v>
      </c>
      <c r="E1032" s="30">
        <f>IF(E102&lt;1,-(E288+E474+E660+E846),-(E288+E474+'3. General Model Inputs'!$D$53*E660+E846)/E102)</f>
        <v>0</v>
      </c>
      <c r="F1032" s="30">
        <f>IF(F102&lt;1,-(F288+F474+F660+F846),-(F288+F474+'3. General Model Inputs'!$D$53*F660+F846)/F102)</f>
        <v>0</v>
      </c>
      <c r="G1032" s="30">
        <f>IF(G102&lt;1,-(G288+G474+G660+G846),-(G288+G474+'3. General Model Inputs'!$D$53*G660+G846)/G102)</f>
        <v>-1214.7625</v>
      </c>
      <c r="H1032" s="30">
        <f>IF(H102&lt;1,-(H288+H474+H660+H846),-(H288+H474+'3. General Model Inputs'!$D$53*H660+H846)/H102)</f>
        <v>-2444.9017405063291</v>
      </c>
    </row>
    <row r="1033" spans="2:8">
      <c r="B1033" s="152">
        <f t="shared" si="35"/>
        <v>0</v>
      </c>
      <c r="D1033" s="30">
        <f>IF(D103&lt;1,-(D289+D475+D661+D847),-(D289+D475+'3. General Model Inputs'!$D$53*D661+D847)/D103)</f>
        <v>0</v>
      </c>
      <c r="E1033" s="30">
        <f>IF(E103&lt;1,-(E289+E475+E661+E847),-(E289+E475+'3. General Model Inputs'!$D$53*E661+E847)/E103)</f>
        <v>0</v>
      </c>
      <c r="F1033" s="30">
        <f>IF(F103&lt;1,-(F289+F475+F661+F847),-(F289+F475+'3. General Model Inputs'!$D$53*F661+F847)/F103)</f>
        <v>0</v>
      </c>
      <c r="G1033" s="30">
        <f>IF(G103&lt;1,-(G289+G475+G661+G847),-(G289+G475+'3. General Model Inputs'!$D$53*G661+G847)/G103)</f>
        <v>0</v>
      </c>
      <c r="H1033" s="30">
        <f>IF(H103&lt;1,-(H289+H475+H661+H847),-(H289+H475+'3. General Model Inputs'!$D$53*H661+H847)/H103)</f>
        <v>-4286.2749999999996</v>
      </c>
    </row>
    <row r="1034" spans="2:8">
      <c r="B1034" s="152">
        <f t="shared" si="35"/>
        <v>0</v>
      </c>
      <c r="D1034" s="30">
        <f>IF(D104&lt;1,-(D290+D476+D662+D848),-(D290+D476+'3. General Model Inputs'!$D$53*D662+D848)/D104)</f>
        <v>0</v>
      </c>
      <c r="E1034" s="30">
        <f>IF(E104&lt;1,-(E290+E476+E662+E848),-(E290+E476+'3. General Model Inputs'!$D$53*E662+E848)/E104)</f>
        <v>0</v>
      </c>
      <c r="F1034" s="30">
        <f>IF(F104&lt;1,-(F290+F476+F662+F848),-(F290+F476+'3. General Model Inputs'!$D$53*F662+F848)/F104)</f>
        <v>-3375.7874999999999</v>
      </c>
      <c r="G1034" s="30">
        <f>IF(G104&lt;1,-(G290+G476+G662+G848),-(G290+G476+'3. General Model Inputs'!$D$53*G662+G848)/G104)</f>
        <v>-6838.1336538461546</v>
      </c>
      <c r="H1034" s="30">
        <f>IF(H104&lt;1,-(H290+H476+H662+H848),-(H290+H476+'3. General Model Inputs'!$D$53*H662+H848)/H104)</f>
        <v>-6838.1336538461546</v>
      </c>
    </row>
    <row r="1035" spans="2:8">
      <c r="B1035" s="152">
        <f t="shared" si="35"/>
        <v>0</v>
      </c>
      <c r="D1035" s="30">
        <f>IF(D105&lt;1,-(D291+D477+D663+D849),-(D291+D477+'3. General Model Inputs'!$D$53*D663+D849)/D105)</f>
        <v>0</v>
      </c>
      <c r="E1035" s="30">
        <f>IF(E105&lt;1,-(E291+E477+E663+E849),-(E291+E477+'3. General Model Inputs'!$D$53*E663+E849)/E105)</f>
        <v>0</v>
      </c>
      <c r="F1035" s="30">
        <f>IF(F105&lt;1,-(F291+F477+F663+F849),-(F291+F477+'3. General Model Inputs'!$D$53*F663+F849)/F105)</f>
        <v>0</v>
      </c>
      <c r="G1035" s="30">
        <f>IF(G105&lt;1,-(G291+G477+G663+G849),-(G291+G477+'3. General Model Inputs'!$D$53*G663+G849)/G105)</f>
        <v>-3470.7624999999998</v>
      </c>
      <c r="H1035" s="30">
        <f>IF(H105&lt;1,-(H291+H477+H663+H849),-(H291+H477+'3. General Model Inputs'!$D$53*H663+H849)/H105)</f>
        <v>-7030.51891025641</v>
      </c>
    </row>
    <row r="1036" spans="2:8">
      <c r="B1036" s="152">
        <f t="shared" si="35"/>
        <v>0</v>
      </c>
      <c r="D1036" s="30">
        <f>IF(D106&lt;1,-(D292+D478+D664+D850),-(D292+D478+'3. General Model Inputs'!$D$53*D664+D850)/D106)</f>
        <v>0</v>
      </c>
      <c r="E1036" s="30">
        <f>IF(E106&lt;1,-(E292+E478+E664+E850),-(E292+E478+'3. General Model Inputs'!$D$53*E664+E850)/E106)</f>
        <v>0</v>
      </c>
      <c r="F1036" s="30">
        <f>IF(F106&lt;1,-(F292+F478+F664+F850),-(F292+F478+'3. General Model Inputs'!$D$53*F664+F850)/F106)</f>
        <v>0</v>
      </c>
      <c r="G1036" s="30">
        <f>IF(G106&lt;1,-(G292+G478+G664+G850),-(G292+G478+'3. General Model Inputs'!$D$53*G664+G850)/G106)</f>
        <v>0</v>
      </c>
      <c r="H1036" s="30">
        <f>IF(H106&lt;1,-(H292+H478+H664+H850),-(H292+H478+'3. General Model Inputs'!$D$53*H664+H850)/H106)</f>
        <v>-4107.6875</v>
      </c>
    </row>
    <row r="1037" spans="2:8">
      <c r="B1037" s="152">
        <f t="shared" si="35"/>
        <v>0</v>
      </c>
      <c r="D1037" s="30">
        <f>IF(D107&lt;1,-(D293+D479+D665+D851),-(D293+D479+'3. General Model Inputs'!$D$53*D665+D851)/D107)</f>
        <v>0</v>
      </c>
      <c r="E1037" s="30">
        <f>IF(E107&lt;1,-(E293+E479+E665+E851),-(E293+E479+'3. General Model Inputs'!$D$53*E665+E851)/E107)</f>
        <v>0</v>
      </c>
      <c r="F1037" s="30">
        <f>IF(F107&lt;1,-(F293+F479+F665+F851),-(F293+F479+'3. General Model Inputs'!$D$53*F665+F851)/F107)</f>
        <v>0</v>
      </c>
      <c r="G1037" s="30">
        <f>IF(G107&lt;1,-(G293+G479+G665+G851),-(G293+G479+'3. General Model Inputs'!$D$53*G665+G851)/G107)</f>
        <v>0</v>
      </c>
      <c r="H1037" s="30">
        <f>IF(H107&lt;1,-(H293+H479+H665+H851),-(H293+H479+'3. General Model Inputs'!$D$53*H665+H851)/H107)</f>
        <v>-8929.7374999999993</v>
      </c>
    </row>
    <row r="1038" spans="2:8">
      <c r="B1038" s="152">
        <f t="shared" si="35"/>
        <v>0</v>
      </c>
      <c r="D1038" s="30">
        <f>IF(D108&lt;1,-(D294+D480+D666+D852),-(D294+D480+'3. General Model Inputs'!$D$53*D666+D852)/D108)</f>
        <v>0</v>
      </c>
      <c r="E1038" s="30">
        <f>IF(E108&lt;1,-(E294+E480+E666+E852),-(E294+E480+'3. General Model Inputs'!$D$53*E666+E852)/E108)</f>
        <v>0</v>
      </c>
      <c r="F1038" s="30">
        <f>IF(F108&lt;1,-(F294+F480+F666+F852),-(F294+F480+'3. General Model Inputs'!$D$53*F666+F852)/F108)</f>
        <v>0</v>
      </c>
      <c r="G1038" s="30">
        <f>IF(G108&lt;1,-(G294+G480+G666+G852),-(G294+G480+'3. General Model Inputs'!$D$53*G666+G852)/G108)</f>
        <v>0</v>
      </c>
      <c r="H1038" s="30">
        <f>IF(H108&lt;1,-(H294+H480+H666+H852),-(H294+H480+'3. General Model Inputs'!$D$53*H666+H852)/H108)</f>
        <v>-5953.1583333333338</v>
      </c>
    </row>
    <row r="1039" spans="2:8">
      <c r="B1039" s="152">
        <f t="shared" si="35"/>
        <v>0</v>
      </c>
      <c r="D1039" s="30">
        <f>IF(D109&lt;1,-(D295+D481+D667+D853),-(D295+D481+'3. General Model Inputs'!$D$53*D667+D853)/D109)</f>
        <v>0</v>
      </c>
      <c r="E1039" s="30">
        <f>IF(E109&lt;1,-(E295+E481+E667+E853),-(E295+E481+'3. General Model Inputs'!$D$53*E667+E853)/E109)</f>
        <v>0</v>
      </c>
      <c r="F1039" s="30">
        <f>IF(F109&lt;1,-(F295+F481+F667+F853),-(F295+F481+'3. General Model Inputs'!$D$53*F667+F853)/F109)</f>
        <v>0</v>
      </c>
      <c r="G1039" s="30">
        <f>IF(G109&lt;1,-(G295+G481+G667+G853),-(G295+G481+'3. General Model Inputs'!$D$53*G667+G853)/G109)</f>
        <v>-2141.7134702207595</v>
      </c>
      <c r="H1039" s="30">
        <f>IF(H109&lt;1,-(H295+H481+H667+H853),-(H295+H481+'3. General Model Inputs'!$D$53*H667+H853)/H109)</f>
        <v>-4338.3426704471794</v>
      </c>
    </row>
    <row r="1040" spans="2:8">
      <c r="B1040" s="152">
        <f t="shared" si="35"/>
        <v>0</v>
      </c>
      <c r="D1040" s="30">
        <f>IF(D110&lt;1,-(D296+D482+D668+D854),-(D296+D482+'3. General Model Inputs'!$D$53*D668+D854)/D110)</f>
        <v>0</v>
      </c>
      <c r="E1040" s="30">
        <f>IF(E110&lt;1,-(E296+E482+E668+E854),-(E296+E482+'3. General Model Inputs'!$D$53*E668+E854)/E110)</f>
        <v>0</v>
      </c>
      <c r="F1040" s="30">
        <f>IF(F110&lt;1,-(F296+F482+F668+F854),-(F296+F482+'3. General Model Inputs'!$D$53*F668+F854)/F110)</f>
        <v>0</v>
      </c>
      <c r="G1040" s="30">
        <f>IF(G110&lt;1,-(G296+G482+G668+G854),-(G296+G482+'3. General Model Inputs'!$D$53*G668+G854)/G110)</f>
        <v>0</v>
      </c>
      <c r="H1040" s="30">
        <f>IF(H110&lt;1,-(H296+H482+H668+H854),-(H296+H482+'3. General Model Inputs'!$D$53*H668+H854)/H110)</f>
        <v>-6751.5772232382978</v>
      </c>
    </row>
    <row r="1041" spans="2:8">
      <c r="B1041" s="152">
        <f t="shared" si="35"/>
        <v>0</v>
      </c>
      <c r="D1041" s="30">
        <f>IF(D111&lt;1,-(D297+D483+D669+D855),-(D297+D483+'3. General Model Inputs'!$D$53*D669+D855)/D111)</f>
        <v>0</v>
      </c>
      <c r="E1041" s="30">
        <f>IF(E111&lt;1,-(E297+E483+E669+E855),-(E297+E483+'3. General Model Inputs'!$D$53*E669+E855)/E111)</f>
        <v>0</v>
      </c>
      <c r="F1041" s="30">
        <f>IF(F111&lt;1,-(F297+F483+F669+F855),-(F297+F483+'3. General Model Inputs'!$D$53*F669+F855)/F111)</f>
        <v>0</v>
      </c>
      <c r="G1041" s="30">
        <f>IF(G111&lt;1,-(G297+G483+G669+G855),-(G297+G483+'3. General Model Inputs'!$D$53*G669+G855)/G111)</f>
        <v>-10903.966666666667</v>
      </c>
      <c r="H1041" s="30">
        <f>IF(H111&lt;1,-(H297+H483+H669+H855),-(H297+H483+'3. General Model Inputs'!$D$53*H669+H855)/H111)</f>
        <v>-22183.932183908044</v>
      </c>
    </row>
    <row r="1042" spans="2:8">
      <c r="B1042" s="152">
        <f t="shared" si="35"/>
        <v>0</v>
      </c>
      <c r="D1042" s="30">
        <f>IF(D112&lt;1,-(D298+D484+D670+D856),-(D298+D484+'3. General Model Inputs'!$D$53*D670+D856)/D112)</f>
        <v>-5360.5778333333337</v>
      </c>
      <c r="E1042" s="30">
        <f>IF(E112&lt;1,-(E298+E484+E670+E856),-(E298+E484+'3. General Model Inputs'!$D$53*E670+E856)/E112)</f>
        <v>-10812.012918079099</v>
      </c>
      <c r="F1042" s="30">
        <f>IF(F112&lt;1,-(F298+F484+F670+F856),-(F298+F484+'3. General Model Inputs'!$D$53*F670+F856)/F112)</f>
        <v>-10812.012918079097</v>
      </c>
      <c r="G1042" s="30">
        <f>IF(G112&lt;1,-(G298+G484+G670+G856),-(G298+G484+'3. General Model Inputs'!$D$53*G670+G856)/G112)</f>
        <v>-10812.012918079095</v>
      </c>
      <c r="H1042" s="30">
        <f>IF(H112&lt;1,-(H298+H484+H670+H856),-(H298+H484+'3. General Model Inputs'!$D$53*H670+H856)/H112)</f>
        <v>-10812.012918079097</v>
      </c>
    </row>
    <row r="1043" spans="2:8">
      <c r="B1043" s="152">
        <f t="shared" si="35"/>
        <v>0</v>
      </c>
      <c r="D1043" s="30">
        <f>IF(D113&lt;1,-(D299+D485+D671+D857),-(D299+D485+'3. General Model Inputs'!$D$53*D671+D857)/D113)</f>
        <v>0</v>
      </c>
      <c r="E1043" s="30">
        <f>IF(E113&lt;1,-(E299+E485+E671+E857),-(E299+E485+'3. General Model Inputs'!$D$53*E671+E857)/E113)</f>
        <v>0</v>
      </c>
      <c r="F1043" s="30">
        <f>IF(F113&lt;1,-(F299+F485+F671+F857),-(F299+F485+'3. General Model Inputs'!$D$53*F671+F857)/F113)</f>
        <v>-7679.9250000000002</v>
      </c>
      <c r="G1043" s="30">
        <f>IF(G113&lt;1,-(G299+G485+G671+G857),-(G299+G485+'3. General Model Inputs'!$D$53*G671+G857)/G113)</f>
        <v>-15556.771153846154</v>
      </c>
      <c r="H1043" s="30">
        <f>IF(H113&lt;1,-(H299+H485+H671+H857),-(H299+H485+'3. General Model Inputs'!$D$53*H671+H857)/H113)</f>
        <v>-15556.771153846152</v>
      </c>
    </row>
    <row r="1044" spans="2:8">
      <c r="B1044" s="152">
        <f t="shared" si="35"/>
        <v>0</v>
      </c>
      <c r="D1044" s="30">
        <f>IF(D114&lt;1,-(D300+D486+D672+D858),-(D300+D486+'3. General Model Inputs'!$D$53*D672+D858)/D114)</f>
        <v>0</v>
      </c>
      <c r="E1044" s="30">
        <f>IF(E114&lt;1,-(E300+E486+E672+E858),-(E300+E486+'3. General Model Inputs'!$D$53*E672+E858)/E114)</f>
        <v>0</v>
      </c>
      <c r="F1044" s="30">
        <f>IF(F114&lt;1,-(F300+F486+F672+F858),-(F300+F486+'3. General Model Inputs'!$D$53*F672+F858)/F114)</f>
        <v>0</v>
      </c>
      <c r="G1044" s="30">
        <f>IF(G114&lt;1,-(G300+G486+G672+G858),-(G300+G486+'3. General Model Inputs'!$D$53*G672+G858)/G114)</f>
        <v>-1388.3</v>
      </c>
      <c r="H1044" s="30">
        <f>IF(H114&lt;1,-(H300+H486+H672+H858),-(H300+H486+'3. General Model Inputs'!$D$53*H672+H858)/H114)</f>
        <v>-2812.1974358974358</v>
      </c>
    </row>
    <row r="1045" spans="2:8">
      <c r="B1045" s="152">
        <f t="shared" si="35"/>
        <v>0</v>
      </c>
      <c r="D1045" s="30">
        <f>IF(D115&lt;1,-(D301+D487+D673+D859),-(D301+D487+'3. General Model Inputs'!$D$53*D673+D859)/D115)</f>
        <v>0</v>
      </c>
      <c r="E1045" s="30">
        <f>IF(E115&lt;1,-(E301+E487+E673+E859),-(E301+E487+'3. General Model Inputs'!$D$53*E673+E859)/E115)</f>
        <v>0</v>
      </c>
      <c r="F1045" s="30">
        <f>IF(F115&lt;1,-(F301+F487+F673+F859),-(F301+F487+'3. General Model Inputs'!$D$53*F673+F859)/F115)</f>
        <v>0</v>
      </c>
      <c r="G1045" s="30">
        <f>IF(G115&lt;1,-(G301+G487+G673+G859),-(G301+G487+'3. General Model Inputs'!$D$53*G673+G859)/G115)</f>
        <v>0</v>
      </c>
      <c r="H1045" s="30">
        <f>IF(H115&lt;1,-(H301+H487+H673+H859),-(H301+H487+'3. General Model Inputs'!$D$53*H673+H859)/H115)</f>
        <v>-5715.0375000000004</v>
      </c>
    </row>
    <row r="1046" spans="2:8">
      <c r="B1046" s="152">
        <f t="shared" si="35"/>
        <v>0</v>
      </c>
      <c r="D1046" s="30">
        <f>IF(D116&lt;1,-(D302+D488+D674+D860),-(D302+D488+'3. General Model Inputs'!$D$53*D674+D860)/D116)</f>
        <v>-442.2170000000001</v>
      </c>
      <c r="E1046" s="30">
        <f>IF(E116&lt;1,-(E302+E488+E674+E860),-(E302+E488+'3. General Model Inputs'!$D$53*E674+E860)/E116)</f>
        <v>-895.77289743589768</v>
      </c>
      <c r="F1046" s="30">
        <f>IF(F116&lt;1,-(F302+F488+F674+F860),-(F302+F488+'3. General Model Inputs'!$D$53*F674+F860)/F116)</f>
        <v>-895.77289743589768</v>
      </c>
      <c r="G1046" s="30">
        <f>IF(G116&lt;1,-(G302+G488+G674+G860),-(G302+G488+'3. General Model Inputs'!$D$53*G674+G860)/G116)</f>
        <v>-895.77289743589768</v>
      </c>
      <c r="H1046" s="30">
        <f>IF(H116&lt;1,-(H302+H488+H674+H860),-(H302+H488+'3. General Model Inputs'!$D$53*H674+H860)/H116)</f>
        <v>-895.77289743589768</v>
      </c>
    </row>
    <row r="1047" spans="2:8">
      <c r="B1047" s="152">
        <f t="shared" si="35"/>
        <v>0</v>
      </c>
      <c r="D1047" s="30">
        <f>IF(D117&lt;1,-(D303+D489+D675+D861),-(D303+D489+'3. General Model Inputs'!$D$53*D675+D861)/D117)</f>
        <v>0</v>
      </c>
      <c r="E1047" s="30">
        <f>IF(E117&lt;1,-(E303+E489+E675+E861),-(E303+E489+'3. General Model Inputs'!$D$53*E675+E861)/E117)</f>
        <v>-6017.21875</v>
      </c>
      <c r="F1047" s="30">
        <f>IF(F117&lt;1,-(F303+F489+F675+F861),-(F303+F489+'3. General Model Inputs'!$D$53*F675+F861)/F117)</f>
        <v>-12188.72516025641</v>
      </c>
      <c r="G1047" s="30">
        <f>IF(G117&lt;1,-(G303+G489+G675+G861),-(G303+G489+'3. General Model Inputs'!$D$53*G675+G861)/G117)</f>
        <v>-12188.72516025641</v>
      </c>
      <c r="H1047" s="30">
        <f>IF(H117&lt;1,-(H303+H489+H675+H861),-(H303+H489+'3. General Model Inputs'!$D$53*H675+H861)/H117)</f>
        <v>-12188.725160256408</v>
      </c>
    </row>
    <row r="1048" spans="2:8">
      <c r="B1048" s="152">
        <f t="shared" si="35"/>
        <v>0</v>
      </c>
      <c r="D1048" s="30">
        <f>IF(D118&lt;1,-(D304+D490+D676+D862),-(D304+D490+'3. General Model Inputs'!$D$53*D676+D862)/D118)</f>
        <v>0</v>
      </c>
      <c r="E1048" s="30">
        <f>IF(E118&lt;1,-(E304+E490+E676+E862),-(E304+E490+'3. General Model Inputs'!$D$53*E676+E862)/E118)</f>
        <v>0</v>
      </c>
      <c r="F1048" s="30">
        <f>IF(F118&lt;1,-(F304+F490+F676+F862),-(F304+F490+'3. General Model Inputs'!$D$53*F676+F862)/F118)</f>
        <v>0</v>
      </c>
      <c r="G1048" s="30">
        <f>IF(G118&lt;1,-(G304+G490+G676+G862),-(G304+G490+'3. General Model Inputs'!$D$53*G676+G862)/G118)</f>
        <v>0</v>
      </c>
      <c r="H1048" s="30">
        <f>IF(H118&lt;1,-(H304+H490+H676+H862),-(H304+H490+'3. General Model Inputs'!$D$53*H676+H862)/H118)</f>
        <v>-2937.8874999999998</v>
      </c>
    </row>
    <row r="1049" spans="2:8">
      <c r="B1049" s="152">
        <f t="shared" si="35"/>
        <v>0</v>
      </c>
      <c r="D1049" s="30">
        <f>IF(D119&lt;1,-(D305+D491+D677+D863),-(D305+D491+'3. General Model Inputs'!$D$53*D677+D863)/D119)</f>
        <v>-253.30037500000003</v>
      </c>
      <c r="E1049" s="30">
        <f>IF(E119&lt;1,-(E305+E491+E677+E863),-(E305+E491+'3. General Model Inputs'!$D$53*E677+E863)/E119)</f>
        <v>-513.09563141025649</v>
      </c>
      <c r="F1049" s="30">
        <f>IF(F119&lt;1,-(F305+F491+F677+F863),-(F305+F491+'3. General Model Inputs'!$D$53*F677+F863)/F119)</f>
        <v>-513.09563141025649</v>
      </c>
      <c r="G1049" s="30">
        <f>IF(G119&lt;1,-(G305+G491+G677+G863),-(G305+G491+'3. General Model Inputs'!$D$53*G677+G863)/G119)</f>
        <v>-513.0956314102566</v>
      </c>
      <c r="H1049" s="30">
        <f>IF(H119&lt;1,-(H305+H491+H677+H863),-(H305+H491+'3. General Model Inputs'!$D$53*H677+H863)/H119)</f>
        <v>-513.0956314102566</v>
      </c>
    </row>
    <row r="1050" spans="2:8">
      <c r="B1050" s="152">
        <f t="shared" si="35"/>
        <v>0</v>
      </c>
      <c r="D1050" s="30">
        <f>IF(D120&lt;1,-(D306+D492+D678+D864),-(D306+D492+'3. General Model Inputs'!$D$53*D678+D864)/D120)</f>
        <v>0</v>
      </c>
      <c r="E1050" s="30">
        <f>IF(E120&lt;1,-(E306+E492+E678+E864),-(E306+E492+'3. General Model Inputs'!$D$53*E678+E864)/E120)</f>
        <v>-4652.4966249999998</v>
      </c>
      <c r="F1050" s="30">
        <f>IF(F120&lt;1,-(F306+F492+F678+F864),-(F306+F492+'3. General Model Inputs'!$D$53*F678+F864)/F120)</f>
        <v>-9424.2880352564098</v>
      </c>
      <c r="G1050" s="30">
        <f>IF(G120&lt;1,-(G306+G492+G678+G864),-(G306+G492+'3. General Model Inputs'!$D$53*G678+G864)/G120)</f>
        <v>-9424.288035256408</v>
      </c>
      <c r="H1050" s="30">
        <f>IF(H120&lt;1,-(H306+H492+H678+H864),-(H306+H492+'3. General Model Inputs'!$D$53*H678+H864)/H120)</f>
        <v>-9424.2880352564098</v>
      </c>
    </row>
    <row r="1051" spans="2:8">
      <c r="B1051" s="152">
        <f t="shared" si="35"/>
        <v>0</v>
      </c>
      <c r="D1051" s="30">
        <f>IF(D121&lt;1,-(D307+D493+D679+D865),-(D307+D493+'3. General Model Inputs'!$D$53*D679+D865)/D121)</f>
        <v>0</v>
      </c>
      <c r="E1051" s="30">
        <f>IF(E121&lt;1,-(E307+E493+E679+E865),-(E307+E493+'3. General Model Inputs'!$D$53*E679+E865)/E121)</f>
        <v>0</v>
      </c>
      <c r="F1051" s="30">
        <f>IF(F121&lt;1,-(F307+F493+F679+F865),-(F307+F493+'3. General Model Inputs'!$D$53*F679+F865)/F121)</f>
        <v>-584.4</v>
      </c>
      <c r="G1051" s="30">
        <f>IF(G121&lt;1,-(G307+G493+G679+G865),-(G307+G493+'3. General Model Inputs'!$D$53*G679+G865)/G121)</f>
        <v>-1183.7846153846153</v>
      </c>
      <c r="H1051" s="30">
        <f>IF(H121&lt;1,-(H307+H493+H679+H865),-(H307+H493+'3. General Model Inputs'!$D$53*H679+H865)/H121)</f>
        <v>-1183.7846153846153</v>
      </c>
    </row>
    <row r="1052" spans="2:8">
      <c r="B1052" s="152">
        <f t="shared" si="35"/>
        <v>0</v>
      </c>
      <c r="D1052" s="30">
        <f>IF(D122&lt;1,-(D308+D494+D680+D866),-(D308+D494+'3. General Model Inputs'!$D$53*D680+D866)/D122)</f>
        <v>-4047.055374999999</v>
      </c>
      <c r="E1052" s="30">
        <f>IF(E122&lt;1,-(E308+E494+E680+E866),-(E308+E494+'3. General Model Inputs'!$D$53*E680+E866)/E122)</f>
        <v>-8197.8814006410248</v>
      </c>
      <c r="F1052" s="30">
        <f>IF(F122&lt;1,-(F308+F494+F680+F866),-(F308+F494+'3. General Model Inputs'!$D$53*F680+F866)/F122)</f>
        <v>-8197.881400641023</v>
      </c>
      <c r="G1052" s="30">
        <f>IF(G122&lt;1,-(G308+G494+G680+G866),-(G308+G494+'3. General Model Inputs'!$D$53*G680+G866)/G122)</f>
        <v>-8197.8814006410248</v>
      </c>
      <c r="H1052" s="30">
        <f>IF(H122&lt;1,-(H308+H494+H680+H866),-(H308+H494+'3. General Model Inputs'!$D$53*H680+H866)/H122)</f>
        <v>-8197.8814006410248</v>
      </c>
    </row>
    <row r="1053" spans="2:8">
      <c r="B1053" s="152">
        <f t="shared" si="35"/>
        <v>0</v>
      </c>
      <c r="D1053" s="30">
        <f>IF(D123&lt;1,-(D309+D495+D681+D867),-(D309+D495+'3. General Model Inputs'!$D$53*D681+D867)/D123)</f>
        <v>0</v>
      </c>
      <c r="E1053" s="30">
        <f>IF(E123&lt;1,-(E309+E495+E681+E867),-(E309+E495+'3. General Model Inputs'!$D$53*E681+E867)/E123)</f>
        <v>0</v>
      </c>
      <c r="F1053" s="30">
        <f>IF(F123&lt;1,-(F309+F495+F681+F867),-(F309+F495+'3. General Model Inputs'!$D$53*F681+F867)/F123)</f>
        <v>0</v>
      </c>
      <c r="G1053" s="30">
        <f>IF(G123&lt;1,-(G309+G495+G681+G867),-(G309+G495+'3. General Model Inputs'!$D$53*G681+G867)/G123)</f>
        <v>0</v>
      </c>
      <c r="H1053" s="30">
        <f>IF(H123&lt;1,-(H309+H495+H681+H867),-(H309+H495+'3. General Model Inputs'!$D$53*H681+H867)/H123)</f>
        <v>-3839.7874999999999</v>
      </c>
    </row>
    <row r="1054" spans="2:8">
      <c r="B1054" s="152">
        <f t="shared" si="35"/>
        <v>0</v>
      </c>
      <c r="D1054" s="30">
        <f>IF(D124&lt;1,-(D310+D496+D682+D868),-(D310+D496+'3. General Model Inputs'!$D$53*D682+D868)/D124)</f>
        <v>0</v>
      </c>
      <c r="E1054" s="30">
        <f>IF(E124&lt;1,-(E310+E496+E682+E868),-(E310+E496+'3. General Model Inputs'!$D$53*E682+E868)/E124)</f>
        <v>0</v>
      </c>
      <c r="F1054" s="30">
        <f>IF(F124&lt;1,-(F310+F496+F682+F868),-(F310+F496+'3. General Model Inputs'!$D$53*F682+F868)/F124)</f>
        <v>0</v>
      </c>
      <c r="G1054" s="30">
        <f>IF(G124&lt;1,-(G310+G496+G682+G868),-(G310+G496+'3. General Model Inputs'!$D$53*G682+G868)/G124)</f>
        <v>0</v>
      </c>
      <c r="H1054" s="30">
        <f>IF(H124&lt;1,-(H310+H496+H682+H868),-(H310+H496+'3. General Model Inputs'!$D$53*H682+H868)/H124)</f>
        <v>-3839.7874999999999</v>
      </c>
    </row>
    <row r="1055" spans="2:8">
      <c r="B1055" s="152">
        <f t="shared" si="35"/>
        <v>0</v>
      </c>
      <c r="D1055" s="30">
        <f>IF(D125&lt;1,-(D311+D497+D683+D869),-(D311+D497+'3. General Model Inputs'!$D$53*D683+D869)/D125)</f>
        <v>-32.943550000000002</v>
      </c>
      <c r="E1055" s="30">
        <f>IF(E125&lt;1,-(E311+E497+E683+E869),-(E311+E497+'3. General Model Inputs'!$D$53*E683+E869)/E125)</f>
        <v>-66.219863131313147</v>
      </c>
      <c r="F1055" s="30">
        <f>IF(F125&lt;1,-(F311+F497+F683+F869),-(F311+F497+'3. General Model Inputs'!$D$53*F683+F869)/F125)</f>
        <v>-66.219863131313147</v>
      </c>
      <c r="G1055" s="30">
        <f>IF(G125&lt;1,-(G311+G497+G683+G869),-(G311+G497+'3. General Model Inputs'!$D$53*G683+G869)/G125)</f>
        <v>-66.219863131313147</v>
      </c>
      <c r="H1055" s="30">
        <f>IF(H125&lt;1,-(H311+H497+H683+H869),-(H311+H497+'3. General Model Inputs'!$D$53*H683+H869)/H125)</f>
        <v>-66.219863131313147</v>
      </c>
    </row>
    <row r="1056" spans="2:8">
      <c r="B1056" s="152">
        <f t="shared" si="35"/>
        <v>0</v>
      </c>
      <c r="D1056" s="30">
        <f>IF(D126&lt;1,-(D312+D498+D684+D870),-(D312+D498+'3. General Model Inputs'!$D$53*D684+D870)/D126)</f>
        <v>0</v>
      </c>
      <c r="E1056" s="30">
        <f>IF(E126&lt;1,-(E312+E498+E684+E870),-(E312+E498+'3. General Model Inputs'!$D$53*E684+E870)/E126)</f>
        <v>-751.76</v>
      </c>
      <c r="F1056" s="30">
        <f>IF(F126&lt;1,-(F312+F498+F684+F870),-(F312+F498+'3. General Model Inputs'!$D$53*F684+F870)/F126)</f>
        <v>-1511.1135353535353</v>
      </c>
      <c r="G1056" s="30">
        <f>IF(G126&lt;1,-(G312+G498+G684+G870),-(G312+G498+'3. General Model Inputs'!$D$53*G684+G870)/G126)</f>
        <v>-1511.1135353535353</v>
      </c>
      <c r="H1056" s="30">
        <f>IF(H126&lt;1,-(H312+H498+H684+H870),-(H312+H498+'3. General Model Inputs'!$D$53*H684+H870)/H126)</f>
        <v>-1511.1135353535353</v>
      </c>
    </row>
    <row r="1057" spans="2:8">
      <c r="B1057" s="152">
        <f t="shared" si="35"/>
        <v>0</v>
      </c>
      <c r="D1057" s="30">
        <f>IF(D127&lt;1,-(D313+D499+D685+D871),-(D313+D499+'3. General Model Inputs'!$D$53*D685+D871)/D127)</f>
        <v>0</v>
      </c>
      <c r="E1057" s="30">
        <f>IF(E127&lt;1,-(E313+E499+E685+E871),-(E313+E499+'3. General Model Inputs'!$D$53*E685+E871)/E127)</f>
        <v>0</v>
      </c>
      <c r="F1057" s="30">
        <f>IF(F127&lt;1,-(F313+F499+F685+F871),-(F313+F499+'3. General Model Inputs'!$D$53*F685+F871)/F127)</f>
        <v>0</v>
      </c>
      <c r="G1057" s="30">
        <f>IF(G127&lt;1,-(G313+G499+G685+G871),-(G313+G499+'3. General Model Inputs'!$D$53*G685+G871)/G127)</f>
        <v>0</v>
      </c>
      <c r="H1057" s="30">
        <f>IF(H127&lt;1,-(H313+H499+H685+H871),-(H313+H499+'3. General Model Inputs'!$D$53*H685+H871)/H127)</f>
        <v>-1428.76</v>
      </c>
    </row>
    <row r="1058" spans="2:8">
      <c r="B1058" s="152">
        <f t="shared" si="35"/>
        <v>0</v>
      </c>
      <c r="D1058" s="30">
        <f>IF(D128&lt;1,-(D314+D500+D686+D872),-(D314+D500+'3. General Model Inputs'!$D$53*D686+D872)/D128)</f>
        <v>-7119.960500000001</v>
      </c>
      <c r="E1058" s="30">
        <f>IF(E128&lt;1,-(E314+E500+E686+E872),-(E314+E500+'3. General Model Inputs'!$D$53*E686+E872)/E128)</f>
        <v>-15031.027722222227</v>
      </c>
      <c r="F1058" s="30">
        <f>IF(F128&lt;1,-(F314+F500+F686+F872),-(F314+F500+'3. General Model Inputs'!$D$53*F686+F872)/F128)</f>
        <v>-15031.027722222227</v>
      </c>
      <c r="G1058" s="30">
        <f>IF(G128&lt;1,-(G314+G500+G686+G872),-(G314+G500+'3. General Model Inputs'!$D$53*G686+G872)/G128)</f>
        <v>-15031.027722222227</v>
      </c>
      <c r="H1058" s="30">
        <f>IF(H128&lt;1,-(H314+H500+H686+H872),-(H314+H500+'3. General Model Inputs'!$D$53*H686+H872)/H128)</f>
        <v>-15031.027722222228</v>
      </c>
    </row>
    <row r="1059" spans="2:8">
      <c r="B1059" s="152">
        <f t="shared" si="35"/>
        <v>0</v>
      </c>
      <c r="D1059" s="30">
        <f>IF(D129&lt;1,-(D315+D501+D687+D873),-(D315+D501+'3. General Model Inputs'!$D$53*D687+D873)/D129)</f>
        <v>-2480.875</v>
      </c>
      <c r="E1059" s="30">
        <f>IF(E129&lt;1,-(E315+E501+E687+E873),-(E315+E501+'3. General Model Inputs'!$D$53*E687+E873)/E129)</f>
        <v>-5581.96875</v>
      </c>
      <c r="F1059" s="30">
        <f>IF(F129&lt;1,-(F315+F501+F687+F873),-(F315+F501+'3. General Model Inputs'!$D$53*F687+F873)/F129)</f>
        <v>-5581.96875</v>
      </c>
      <c r="G1059" s="30">
        <f>IF(G129&lt;1,-(G315+G501+G687+G873),-(G315+G501+'3. General Model Inputs'!$D$53*G687+G873)/G129)</f>
        <v>-5581.96875</v>
      </c>
      <c r="H1059" s="30">
        <f>IF(H129&lt;1,-(H315+H501+H687+H873),-(H315+H501+'3. General Model Inputs'!$D$53*H687+H873)/H129)</f>
        <v>-5581.96875</v>
      </c>
    </row>
    <row r="1060" spans="2:8">
      <c r="B1060" s="152">
        <f t="shared" si="35"/>
        <v>0</v>
      </c>
      <c r="D1060" s="30">
        <f>IF(D130&lt;1,-(D316+D502+D688+D874),-(D316+D502+'3. General Model Inputs'!$D$53*D688+D874)/D130)</f>
        <v>0</v>
      </c>
      <c r="E1060" s="30">
        <f>IF(E130&lt;1,-(E316+E502+E688+E874),-(E316+E502+'3. General Model Inputs'!$D$53*E688+E874)/E130)</f>
        <v>-7166.666666666667</v>
      </c>
      <c r="F1060" s="30">
        <f>IF(F130&lt;1,-(F316+F502+F688+F874),-(F316+F502+'3. General Model Inputs'!$D$53*F688+F874)/F130)</f>
        <v>-14845.238095238095</v>
      </c>
      <c r="G1060" s="30">
        <f>IF(G130&lt;1,-(G316+G502+G688+G874),-(G316+G502+'3. General Model Inputs'!$D$53*G688+G874)/G130)</f>
        <v>-14845.238095238095</v>
      </c>
      <c r="H1060" s="30">
        <f>IF(H130&lt;1,-(H316+H502+H688+H874),-(H316+H502+'3. General Model Inputs'!$D$53*H688+H874)/H130)</f>
        <v>-14845.238095238094</v>
      </c>
    </row>
    <row r="1061" spans="2:8">
      <c r="B1061" s="152">
        <f t="shared" si="35"/>
        <v>0</v>
      </c>
      <c r="D1061" s="30">
        <f>IF(D131&lt;1,-(D317+D503+D689+D875),-(D317+D503+'3. General Model Inputs'!$D$53*D689+D875)/D131)</f>
        <v>-57500.331999999995</v>
      </c>
      <c r="E1061" s="30">
        <f>IF(E131&lt;1,-(E317+E503+E689+E875),-(E317+E503+'3. General Model Inputs'!$D$53*E689+E875)/E131)</f>
        <v>-129375.74699999999</v>
      </c>
      <c r="F1061" s="30">
        <f>IF(F131&lt;1,-(F317+F503+F689+F875),-(F317+F503+'3. General Model Inputs'!$D$53*F689+F875)/F131)</f>
        <v>-129375.74699999999</v>
      </c>
      <c r="G1061" s="30">
        <f>IF(G131&lt;1,-(G317+G503+G689+G875),-(G317+G503+'3. General Model Inputs'!$D$53*G689+G875)/G131)</f>
        <v>-129375.747</v>
      </c>
      <c r="H1061" s="30">
        <f>IF(H131&lt;1,-(H317+H503+H689+H875),-(H317+H503+'3. General Model Inputs'!$D$53*H689+H875)/H131)</f>
        <v>-129375.747</v>
      </c>
    </row>
    <row r="1062" spans="2:8">
      <c r="B1062" s="152">
        <f t="shared" si="35"/>
        <v>0</v>
      </c>
      <c r="D1062" s="30">
        <f>IF(D132&lt;1,-(D318+D504+D690+D876),-(D318+D504+'3. General Model Inputs'!$D$53*D690+D876)/D132)</f>
        <v>0</v>
      </c>
      <c r="E1062" s="30">
        <f>IF(E132&lt;1,-(E318+E504+E690+E876),-(E318+E504+'3. General Model Inputs'!$D$53*E690+E876)/E132)</f>
        <v>-41950.000000000007</v>
      </c>
      <c r="F1062" s="30">
        <f>IF(F132&lt;1,-(F318+F504+F690+F876),-(F318+F504+'3. General Model Inputs'!$D$53*F690+F876)/F132)</f>
        <v>-94387.500000000015</v>
      </c>
      <c r="G1062" s="30">
        <f>IF(G132&lt;1,-(G318+G504+G690+G876),-(G318+G504+'3. General Model Inputs'!$D$53*G690+G876)/G132)</f>
        <v>-94387.500000000015</v>
      </c>
      <c r="H1062" s="30">
        <f>IF(H132&lt;1,-(H318+H504+H690+H876),-(H318+H504+'3. General Model Inputs'!$D$53*H690+H876)/H132)</f>
        <v>-94387.500000000029</v>
      </c>
    </row>
    <row r="1063" spans="2:8">
      <c r="B1063" s="152">
        <f t="shared" si="35"/>
        <v>0</v>
      </c>
      <c r="D1063" s="30">
        <f>IF(D133&lt;1,-(D319+D505+D691+D877),-(D319+D505+'3. General Model Inputs'!$D$53*D691+D877)/D133)</f>
        <v>0</v>
      </c>
      <c r="E1063" s="30">
        <f>IF(E133&lt;1,-(E319+E505+E691+E877),-(E319+E505+'3. General Model Inputs'!$D$53*E691+E877)/E133)</f>
        <v>0</v>
      </c>
      <c r="F1063" s="30">
        <f>IF(F133&lt;1,-(F319+F505+F691+F877),-(F319+F505+'3. General Model Inputs'!$D$53*F691+F877)/F133)</f>
        <v>-45000</v>
      </c>
      <c r="G1063" s="30">
        <f>IF(G133&lt;1,-(G319+G505+G691+G877),-(G319+G505+'3. General Model Inputs'!$D$53*G691+G877)/G133)</f>
        <v>-101250</v>
      </c>
      <c r="H1063" s="30">
        <f>IF(H133&lt;1,-(H319+H505+H691+H877),-(H319+H505+'3. General Model Inputs'!$D$53*H691+H877)/H133)</f>
        <v>-101250</v>
      </c>
    </row>
    <row r="1064" spans="2:8">
      <c r="B1064" s="152">
        <f t="shared" si="35"/>
        <v>0</v>
      </c>
      <c r="D1064" s="30">
        <f>IF(D134&lt;1,-(D320+D506+D692+D878),-(D320+D506+'3. General Model Inputs'!$D$53*D692+D878)/D134)</f>
        <v>0</v>
      </c>
      <c r="E1064" s="30">
        <f>IF(E134&lt;1,-(E320+E506+E692+E878),-(E320+E506+'3. General Model Inputs'!$D$53*E692+E878)/E134)</f>
        <v>0</v>
      </c>
      <c r="F1064" s="30">
        <f>IF(F134&lt;1,-(F320+F506+F692+F878),-(F320+F506+'3. General Model Inputs'!$D$53*F692+F878)/F134)</f>
        <v>0</v>
      </c>
      <c r="G1064" s="30">
        <f>IF(G134&lt;1,-(G320+G506+G692+G878),-(G320+G506+'3. General Model Inputs'!$D$53*G692+G878)/G134)</f>
        <v>-45000</v>
      </c>
      <c r="H1064" s="30">
        <f>IF(H134&lt;1,-(H320+H506+H692+H878),-(H320+H506+'3. General Model Inputs'!$D$53*H692+H878)/H134)</f>
        <v>-101250</v>
      </c>
    </row>
    <row r="1065" spans="2:8">
      <c r="B1065" s="152">
        <f t="shared" si="35"/>
        <v>0</v>
      </c>
      <c r="D1065" s="30">
        <f>IF(D135&lt;1,-(D321+D507+D693+D879),-(D321+D507+'3. General Model Inputs'!$D$53*D693+D879)/D135)</f>
        <v>0</v>
      </c>
      <c r="E1065" s="30">
        <f>IF(E135&lt;1,-(E321+E507+E693+E879),-(E321+E507+'3. General Model Inputs'!$D$53*E693+E879)/E135)</f>
        <v>0</v>
      </c>
      <c r="F1065" s="30">
        <f>IF(F135&lt;1,-(F321+F507+F693+F879),-(F321+F507+'3. General Model Inputs'!$D$53*F693+F879)/F135)</f>
        <v>0</v>
      </c>
      <c r="G1065" s="30">
        <f>IF(G135&lt;1,-(G321+G507+G693+G879),-(G321+G507+'3. General Model Inputs'!$D$53*G693+G879)/G135)</f>
        <v>0</v>
      </c>
      <c r="H1065" s="30">
        <f>IF(H135&lt;1,-(H321+H507+H693+H879),-(H321+H507+'3. General Model Inputs'!$D$53*H693+H879)/H135)</f>
        <v>-45000</v>
      </c>
    </row>
    <row r="1066" spans="2:8">
      <c r="B1066" s="152">
        <f t="shared" si="35"/>
        <v>0</v>
      </c>
      <c r="D1066" s="30">
        <f>IF(D136&lt;1,-(D322+D508+D694+D880),-(D322+D508+'3. General Model Inputs'!$D$53*D694+D880)/D136)</f>
        <v>-49501.270000000004</v>
      </c>
      <c r="E1066" s="30">
        <f>IF(E136&lt;1,-(E322+E508+E694+E880),-(E322+E508+'3. General Model Inputs'!$D$53*E694+E880)/E136)</f>
        <v>-111377.8575</v>
      </c>
      <c r="F1066" s="30">
        <f>IF(F136&lt;1,-(F322+F508+F694+F880),-(F322+F508+'3. General Model Inputs'!$D$53*F694+F880)/F136)</f>
        <v>-111377.8575</v>
      </c>
      <c r="G1066" s="30">
        <f>IF(G136&lt;1,-(G322+G508+G694+G880),-(G322+G508+'3. General Model Inputs'!$D$53*G694+G880)/G136)</f>
        <v>-111377.85750000001</v>
      </c>
      <c r="H1066" s="30">
        <f>IF(H136&lt;1,-(H322+H508+H694+H880),-(H322+H508+'3. General Model Inputs'!$D$53*H694+H880)/H136)</f>
        <v>-111377.85750000001</v>
      </c>
    </row>
    <row r="1067" spans="2:8">
      <c r="B1067" s="152">
        <f t="shared" si="35"/>
        <v>0</v>
      </c>
      <c r="D1067" s="30">
        <f>IF(D137&lt;1,-(D323+D509+D695+D881),-(D323+D509+'3. General Model Inputs'!$D$53*D695+D881)/D137)</f>
        <v>-19235.611750000004</v>
      </c>
      <c r="E1067" s="30">
        <f>IF(E137&lt;1,-(E323+E509+E695+E881),-(E323+E509+'3. General Model Inputs'!$D$53*E695+E881)/E137)</f>
        <v>-39483.624118421059</v>
      </c>
      <c r="F1067" s="30">
        <f>IF(F137&lt;1,-(F323+F509+F695+F881),-(F323+F509+'3. General Model Inputs'!$D$53*F695+F881)/F137)</f>
        <v>-39483.624118421059</v>
      </c>
      <c r="G1067" s="30">
        <f>IF(G137&lt;1,-(G323+G509+G695+G881),-(G323+G509+'3. General Model Inputs'!$D$53*G695+G881)/G137)</f>
        <v>-39483.624118421052</v>
      </c>
      <c r="H1067" s="30">
        <f>IF(H137&lt;1,-(H323+H509+H695+H881),-(H323+H509+'3. General Model Inputs'!$D$53*H695+H881)/H137)</f>
        <v>-39483.624118421052</v>
      </c>
    </row>
    <row r="1068" spans="2:8">
      <c r="B1068" s="152">
        <f t="shared" si="35"/>
        <v>0</v>
      </c>
      <c r="D1068" s="30">
        <f>IF(D138&lt;1,-(D324+D510+D696+D882),-(D324+D510+'3. General Model Inputs'!$D$53*D696+D882)/D138)</f>
        <v>0</v>
      </c>
      <c r="E1068" s="30">
        <f>IF(E138&lt;1,-(E324+E510+E696+E882),-(E324+E510+'3. General Model Inputs'!$D$53*E696+E882)/E138)</f>
        <v>-12224.9915</v>
      </c>
      <c r="F1068" s="30">
        <f>IF(F138&lt;1,-(F324+F510+F696+F882),-(F324+F510+'3. General Model Inputs'!$D$53*F696+F882)/F138)</f>
        <v>-25093.403605263156</v>
      </c>
      <c r="G1068" s="30">
        <f>IF(G138&lt;1,-(G324+G510+G696+G882),-(G324+G510+'3. General Model Inputs'!$D$53*G696+G882)/G138)</f>
        <v>-25093.403605263156</v>
      </c>
      <c r="H1068" s="30">
        <f>IF(H138&lt;1,-(H324+H510+H696+H882),-(H324+H510+'3. General Model Inputs'!$D$53*H696+H882)/H138)</f>
        <v>-25093.403605263156</v>
      </c>
    </row>
    <row r="1069" spans="2:8">
      <c r="B1069" s="152">
        <f t="shared" si="35"/>
        <v>0</v>
      </c>
      <c r="D1069" s="30">
        <f>IF(D139&lt;1,-(D325+D511+D697+D883),-(D325+D511+'3. General Model Inputs'!$D$53*D697+D883)/D139)</f>
        <v>52.483166666666676</v>
      </c>
      <c r="E1069" s="30">
        <f>IF(E139&lt;1,-(E325+E511+E697+E883),-(E325+E511+'3. General Model Inputs'!$D$53*E697+E883)/E139)</f>
        <v>106.77609770114944</v>
      </c>
      <c r="F1069" s="30">
        <f>IF(F139&lt;1,-(F325+F511+F697+F883),-(F325+F511+'3. General Model Inputs'!$D$53*F697+F883)/F139)</f>
        <v>106.77609770114944</v>
      </c>
      <c r="G1069" s="30">
        <f>IF(G139&lt;1,-(G325+G511+G697+G883),-(G325+G511+'3. General Model Inputs'!$D$53*G697+G883)/G139)</f>
        <v>106.77609770114944</v>
      </c>
      <c r="H1069" s="30">
        <f>IF(H139&lt;1,-(H325+H511+H697+H883),-(H325+H511+'3. General Model Inputs'!$D$53*H697+H883)/H139)</f>
        <v>106.77609770114944</v>
      </c>
    </row>
    <row r="1070" spans="2:8">
      <c r="B1070" s="152">
        <f t="shared" si="35"/>
        <v>0</v>
      </c>
      <c r="D1070" s="30">
        <f>IF(D140&lt;1,-(D326+D512+D698+D884),-(D326+D512+'3. General Model Inputs'!$D$53*D698+D884)/D140)</f>
        <v>-6503.8315000000002</v>
      </c>
      <c r="E1070" s="30">
        <f>IF(E140&lt;1,-(E326+E512+E698+E884),-(E326+E512+'3. General Model Inputs'!$D$53*E698+E884)/E140)</f>
        <v>-13349.969921052632</v>
      </c>
      <c r="F1070" s="30">
        <f>IF(F140&lt;1,-(F326+F512+F698+F884),-(F326+F512+'3. General Model Inputs'!$D$53*F698+F884)/F140)</f>
        <v>-13349.969921052632</v>
      </c>
      <c r="G1070" s="30">
        <f>IF(G140&lt;1,-(G326+G512+G698+G884),-(G326+G512+'3. General Model Inputs'!$D$53*G698+G884)/G140)</f>
        <v>-13349.969921052632</v>
      </c>
      <c r="H1070" s="30">
        <f>IF(H140&lt;1,-(H326+H512+H698+H884),-(H326+H512+'3. General Model Inputs'!$D$53*H698+H884)/H140)</f>
        <v>-13349.969921052632</v>
      </c>
    </row>
    <row r="1071" spans="2:8">
      <c r="B1071" s="152">
        <f t="shared" si="35"/>
        <v>0</v>
      </c>
      <c r="D1071" s="30">
        <f>IF(D141&lt;1,-(D327+D513+D699+D885),-(D327+D513+'3. General Model Inputs'!$D$53*D699+D885)/D141)</f>
        <v>-118.459125</v>
      </c>
      <c r="E1071" s="30">
        <f>IF(E141&lt;1,-(E327+E513+E699+E885),-(E327+E513+'3. General Model Inputs'!$D$53*E699+E885)/E141)</f>
        <v>-239.95566346153848</v>
      </c>
      <c r="F1071" s="30">
        <f>IF(F141&lt;1,-(F327+F513+F699+F885),-(F327+F513+'3. General Model Inputs'!$D$53*F699+F885)/F141)</f>
        <v>-239.95566346153848</v>
      </c>
      <c r="G1071" s="30">
        <f>IF(G141&lt;1,-(G327+G513+G699+G885),-(G327+G513+'3. General Model Inputs'!$D$53*G699+G885)/G141)</f>
        <v>-239.95566346153848</v>
      </c>
      <c r="H1071" s="30">
        <f>IF(H141&lt;1,-(H327+H513+H699+H885),-(H327+H513+'3. General Model Inputs'!$D$53*H699+H885)/H141)</f>
        <v>-239.95566346153848</v>
      </c>
    </row>
    <row r="1072" spans="2:8">
      <c r="B1072" s="152">
        <f t="shared" si="35"/>
        <v>0</v>
      </c>
      <c r="D1072" s="30">
        <f>IF(D142&lt;1,-(D328+D514+D700+D886),-(D328+D514+'3. General Model Inputs'!$D$53*D700+D886)/D142)</f>
        <v>-847.27066666666678</v>
      </c>
      <c r="E1072" s="30">
        <f>IF(E142&lt;1,-(E328+E514+E700+E886),-(E328+E514+'3. General Model Inputs'!$D$53*E700+E886)/E142)</f>
        <v>-1723.7575632183912</v>
      </c>
      <c r="F1072" s="30">
        <f>IF(F142&lt;1,-(F328+F514+F700+F886),-(F328+F514+'3. General Model Inputs'!$D$53*F700+F886)/F142)</f>
        <v>-1723.7575632183909</v>
      </c>
      <c r="G1072" s="30">
        <f>IF(G142&lt;1,-(G328+G514+G700+G886),-(G328+G514+'3. General Model Inputs'!$D$53*G700+G886)/G142)</f>
        <v>-1723.7575632183909</v>
      </c>
      <c r="H1072" s="30">
        <f>IF(H142&lt;1,-(H328+H514+H700+H886),-(H328+H514+'3. General Model Inputs'!$D$53*H700+H886)/H142)</f>
        <v>-1723.7575632183907</v>
      </c>
    </row>
    <row r="1073" spans="2:8">
      <c r="B1073" s="152">
        <f t="shared" si="35"/>
        <v>0</v>
      </c>
      <c r="D1073" s="30">
        <f>IF(D143&lt;1,-(D329+D515+D701+D887),-(D329+D515+'3. General Model Inputs'!$D$53*D701+D887)/D143)</f>
        <v>250.68255000000002</v>
      </c>
      <c r="E1073" s="30">
        <f>IF(E143&lt;1,-(E329+E515+E701+E887),-(E329+E515+'3. General Model Inputs'!$D$53*E701+E887)/E143)</f>
        <v>503.89724696969699</v>
      </c>
      <c r="F1073" s="30">
        <f>IF(F143&lt;1,-(F329+F515+F701+F887),-(F329+F515+'3. General Model Inputs'!$D$53*F701+F887)/F143)</f>
        <v>503.89724696969699</v>
      </c>
      <c r="G1073" s="30">
        <f>IF(G143&lt;1,-(G329+G515+G701+G887),-(G329+G515+'3. General Model Inputs'!$D$53*G701+G887)/G143)</f>
        <v>503.89724696969705</v>
      </c>
      <c r="H1073" s="30">
        <f>IF(H143&lt;1,-(H329+H515+H701+H887),-(H329+H515+'3. General Model Inputs'!$D$53*H701+H887)/H143)</f>
        <v>503.89724696969705</v>
      </c>
    </row>
    <row r="1074" spans="2:8">
      <c r="B1074" s="152">
        <f t="shared" si="35"/>
        <v>0</v>
      </c>
      <c r="D1074" s="30">
        <f>IF(D144&lt;1,-(D330+D516+D702+D888),-(D330+D516+'3. General Model Inputs'!$D$53*D702+D888)/D144)</f>
        <v>0</v>
      </c>
      <c r="E1074" s="30">
        <f>IF(E144&lt;1,-(E330+E516+E702+E888),-(E330+E516+'3. General Model Inputs'!$D$53*E702+E888)/E144)</f>
        <v>-2047.395</v>
      </c>
      <c r="F1074" s="30">
        <f>IF(F144&lt;1,-(F330+F516+F702+F888),-(F330+F516+'3. General Model Inputs'!$D$53*F702+F888)/F144)</f>
        <v>-4115.4707575757575</v>
      </c>
      <c r="G1074" s="30">
        <f>IF(G144&lt;1,-(G330+G516+G702+G888),-(G330+G516+'3. General Model Inputs'!$D$53*G702+G888)/G144)</f>
        <v>-4115.4707575757575</v>
      </c>
      <c r="H1074" s="30">
        <f>IF(H144&lt;1,-(H330+H516+H702+H888),-(H330+H516+'3. General Model Inputs'!$D$53*H702+H888)/H144)</f>
        <v>-4115.4707575757575</v>
      </c>
    </row>
    <row r="1075" spans="2:8">
      <c r="B1075" s="152">
        <f t="shared" si="35"/>
        <v>0</v>
      </c>
      <c r="D1075" s="30">
        <f>IF(D145&lt;1,-(D331+D517+D703+D889),-(D331+D517+'3. General Model Inputs'!$D$53*D703+D889)/D145)</f>
        <v>-19.839124999999999</v>
      </c>
      <c r="E1075" s="30">
        <f>IF(E145&lt;1,-(E331+E517+E703+E889),-(E331+E517+'3. General Model Inputs'!$D$53*E703+E889)/E145)</f>
        <v>-39.929378164556958</v>
      </c>
      <c r="F1075" s="30">
        <f>IF(F145&lt;1,-(F331+F517+F703+F889),-(F331+F517+'3. General Model Inputs'!$D$53*F703+F889)/F145)</f>
        <v>-39.929378164556958</v>
      </c>
      <c r="G1075" s="30">
        <f>IF(G145&lt;1,-(G331+G517+G703+G889),-(G331+G517+'3. General Model Inputs'!$D$53*G703+G889)/G145)</f>
        <v>-39.929378164556958</v>
      </c>
      <c r="H1075" s="30">
        <f>IF(H145&lt;1,-(H331+H517+H703+H889),-(H331+H517+'3. General Model Inputs'!$D$53*H703+H889)/H145)</f>
        <v>-39.929378164556958</v>
      </c>
    </row>
    <row r="1076" spans="2:8">
      <c r="B1076" s="152">
        <f t="shared" si="35"/>
        <v>0</v>
      </c>
      <c r="D1076" s="30">
        <f>IF(D146&lt;1,-(D332+D518+D704+D890),-(D332+D518+'3. General Model Inputs'!$D$53*D704+D890)/D146)</f>
        <v>-8009.8639999999996</v>
      </c>
      <c r="E1076" s="30">
        <f>IF(E146&lt;1,-(E332+E518+E704+E890),-(E332+E518+'3. General Model Inputs'!$D$53*E704+E890)/E146)</f>
        <v>-16909.712888888887</v>
      </c>
      <c r="F1076" s="30">
        <f>IF(F146&lt;1,-(F332+F518+F704+F890),-(F332+F518+'3. General Model Inputs'!$D$53*F704+F890)/F146)</f>
        <v>-16909.712888888887</v>
      </c>
      <c r="G1076" s="30">
        <f>IF(G146&lt;1,-(G332+G518+G704+G890),-(G332+G518+'3. General Model Inputs'!$D$53*G704+G890)/G146)</f>
        <v>-16909.712888888887</v>
      </c>
      <c r="H1076" s="30">
        <f>IF(H146&lt;1,-(H332+H518+H704+H890),-(H332+H518+'3. General Model Inputs'!$D$53*H704+H890)/H146)</f>
        <v>-16909.712888888887</v>
      </c>
    </row>
    <row r="1077" spans="2:8">
      <c r="B1077" s="152">
        <f t="shared" si="35"/>
        <v>0</v>
      </c>
      <c r="D1077" s="30">
        <f>IF(D147&lt;1,-(D333+D519+D705+D891),-(D333+D519+'3. General Model Inputs'!$D$53*D705+D891)/D147)</f>
        <v>0</v>
      </c>
      <c r="E1077" s="30">
        <f>IF(E147&lt;1,-(E333+E519+E705+E891),-(E333+E519+'3. General Model Inputs'!$D$53*E705+E891)/E147)</f>
        <v>-3341.1949999999997</v>
      </c>
      <c r="F1077" s="30">
        <f>IF(F147&lt;1,-(F333+F519+F705+F891),-(F333+F519+'3. General Model Inputs'!$D$53*F705+F891)/F147)</f>
        <v>-7053.6338888888886</v>
      </c>
      <c r="G1077" s="30">
        <f>IF(G147&lt;1,-(G333+G519+G705+G891),-(G333+G519+'3. General Model Inputs'!$D$53*G705+G891)/G147)</f>
        <v>-7053.6338888888886</v>
      </c>
      <c r="H1077" s="30">
        <f>IF(H147&lt;1,-(H333+H519+H705+H891),-(H333+H519+'3. General Model Inputs'!$D$53*H705+H891)/H147)</f>
        <v>-7053.6338888888886</v>
      </c>
    </row>
    <row r="1078" spans="2:8">
      <c r="B1078" s="152">
        <f t="shared" si="35"/>
        <v>0</v>
      </c>
      <c r="D1078" s="30">
        <f>IF(D148&lt;1,-(D334+D520+D706+D892),-(D334+D520+'3. General Model Inputs'!$D$53*D706+D892)/D148)</f>
        <v>-3274.50875</v>
      </c>
      <c r="E1078" s="30">
        <f>IF(E148&lt;1,-(E334+E520+E706+E892),-(E334+E520+'3. General Model Inputs'!$D$53*E706+E892)/E148)</f>
        <v>-6632.9792628205132</v>
      </c>
      <c r="F1078" s="30">
        <f>IF(F148&lt;1,-(F334+F520+F706+F892),-(F334+F520+'3. General Model Inputs'!$D$53*F706+F892)/F148)</f>
        <v>-6632.9792628205132</v>
      </c>
      <c r="G1078" s="30">
        <f>IF(G148&lt;1,-(G334+G520+G706+G892),-(G334+G520+'3. General Model Inputs'!$D$53*G706+G892)/G148)</f>
        <v>-6632.9792628205132</v>
      </c>
      <c r="H1078" s="30">
        <f>IF(H148&lt;1,-(H334+H520+H706+H892),-(H334+H520+'3. General Model Inputs'!$D$53*H706+H892)/H148)</f>
        <v>-6632.9792628205141</v>
      </c>
    </row>
    <row r="1079" spans="2:8">
      <c r="B1079" s="152">
        <f t="shared" si="35"/>
        <v>0</v>
      </c>
      <c r="D1079" s="30">
        <f>IF(D149&lt;1,-(D335+D521+D707+D893),-(D335+D521+'3. General Model Inputs'!$D$53*D707+D893)/D149)</f>
        <v>0</v>
      </c>
      <c r="E1079" s="30">
        <f>IF(E149&lt;1,-(E335+E521+E707+E893),-(E335+E521+'3. General Model Inputs'!$D$53*E707+E893)/E149)</f>
        <v>165.97637500000013</v>
      </c>
      <c r="F1079" s="30">
        <f>IF(F149&lt;1,-(F335+F521+F707+F893),-(F335+F521+'3. General Model Inputs'!$D$53*F707+F893)/F149)</f>
        <v>336.20855448717975</v>
      </c>
      <c r="G1079" s="30">
        <f>IF(G149&lt;1,-(G335+G521+G707+G893),-(G335+G521+'3. General Model Inputs'!$D$53*G707+G893)/G149)</f>
        <v>336.20855448717981</v>
      </c>
      <c r="H1079" s="30">
        <f>IF(H149&lt;1,-(H335+H521+H707+H893),-(H335+H521+'3. General Model Inputs'!$D$53*H707+H893)/H149)</f>
        <v>336.20855448717975</v>
      </c>
    </row>
    <row r="1080" spans="2:8">
      <c r="B1080" s="152">
        <f t="shared" ref="B1080:B1133" si="36">B894</f>
        <v>0</v>
      </c>
      <c r="D1080" s="30">
        <f>IF(D150&lt;1,-(D336+D522+D708+D894),-(D336+D522+'3. General Model Inputs'!$D$53*D708+D894)/D150)</f>
        <v>8.8600000000000012</v>
      </c>
      <c r="E1080" s="30">
        <f>IF(E150&lt;1,-(E336+E522+E708+E894),-(E336+E522+'3. General Model Inputs'!$D$53*E708+E894)/E150)</f>
        <v>18.025517241379312</v>
      </c>
      <c r="F1080" s="30">
        <f>IF(F150&lt;1,-(F336+F522+F708+F894),-(F336+F522+'3. General Model Inputs'!$D$53*F708+F894)/F150)</f>
        <v>18.025517241379312</v>
      </c>
      <c r="G1080" s="30">
        <f>IF(G150&lt;1,-(G336+G522+G708+G894),-(G336+G522+'3. General Model Inputs'!$D$53*G708+G894)/G150)</f>
        <v>18.025517241379312</v>
      </c>
      <c r="H1080" s="30">
        <f>IF(H150&lt;1,-(H336+H522+H708+H894),-(H336+H522+'3. General Model Inputs'!$D$53*H708+H894)/H150)</f>
        <v>18.025517241379312</v>
      </c>
    </row>
    <row r="1081" spans="2:8">
      <c r="B1081" s="152">
        <f t="shared" si="36"/>
        <v>0</v>
      </c>
      <c r="D1081" s="30">
        <f>IF(D151&lt;1,-(D337+D523+D709+D895),-(D337+D523+'3. General Model Inputs'!$D$53*D709+D895)/D151)</f>
        <v>-324.09183333333328</v>
      </c>
      <c r="E1081" s="30">
        <f>IF(E151&lt;1,-(E337+E523+E709+E895),-(E337+E523+'3. General Model Inputs'!$D$53*E709+E895)/E151)</f>
        <v>-659.3592471264368</v>
      </c>
      <c r="F1081" s="30">
        <f>IF(F151&lt;1,-(F337+F523+F709+F895),-(F337+F523+'3. General Model Inputs'!$D$53*F709+F895)/F151)</f>
        <v>-659.35924712643668</v>
      </c>
      <c r="G1081" s="30">
        <f>IF(G151&lt;1,-(G337+G523+G709+G895),-(G337+G523+'3. General Model Inputs'!$D$53*G709+G895)/G151)</f>
        <v>-659.35924712643668</v>
      </c>
      <c r="H1081" s="30">
        <f>IF(H151&lt;1,-(H337+H523+H709+H895),-(H337+H523+'3. General Model Inputs'!$D$53*H709+H895)/H151)</f>
        <v>-659.35924712643657</v>
      </c>
    </row>
    <row r="1082" spans="2:8">
      <c r="B1082" s="152">
        <f t="shared" si="36"/>
        <v>0</v>
      </c>
      <c r="D1082" s="30">
        <f>IF(D152&lt;1,-(D338+D524+D710+D896),-(D338+D524+'3. General Model Inputs'!$D$53*D710+D896)/D152)</f>
        <v>-64.150000000000006</v>
      </c>
      <c r="E1082" s="30">
        <f>IF(E152&lt;1,-(E338+E524+E710+E896),-(E338+E524+'3. General Model Inputs'!$D$53*E710+E896)/E152)</f>
        <v>-130.51206896551724</v>
      </c>
      <c r="F1082" s="30">
        <f>IF(F152&lt;1,-(F338+F524+F710+F896),-(F338+F524+'3. General Model Inputs'!$D$53*F710+F896)/F152)</f>
        <v>-130.51206896551724</v>
      </c>
      <c r="G1082" s="30">
        <f>IF(G152&lt;1,-(G338+G524+G710+G896),-(G338+G524+'3. General Model Inputs'!$D$53*G710+G896)/G152)</f>
        <v>-130.51206896551724</v>
      </c>
      <c r="H1082" s="30">
        <f>IF(H152&lt;1,-(H338+H524+H710+H896),-(H338+H524+'3. General Model Inputs'!$D$53*H710+H896)/H152)</f>
        <v>-130.51206896551724</v>
      </c>
    </row>
    <row r="1083" spans="2:8">
      <c r="B1083" s="152">
        <f t="shared" si="36"/>
        <v>0</v>
      </c>
      <c r="D1083" s="30">
        <f>IF(D153&lt;1,-(D339+D525+D711+D897),-(D339+D525+'3. General Model Inputs'!$D$53*D711+D897)/D153)</f>
        <v>0</v>
      </c>
      <c r="E1083" s="30">
        <f>IF(E153&lt;1,-(E339+E525+E711+E897),-(E339+E525+'3. General Model Inputs'!$D$53*E711+E897)/E153)</f>
        <v>-18.672166666666666</v>
      </c>
      <c r="F1083" s="30">
        <f>IF(F153&lt;1,-(F339+F525+F711+F897),-(F339+F525+'3. General Model Inputs'!$D$53*F711+F897)/F153)</f>
        <v>-37.988201149425279</v>
      </c>
      <c r="G1083" s="30">
        <f>IF(G153&lt;1,-(G339+G525+G711+G897),-(G339+G525+'3. General Model Inputs'!$D$53*G711+G897)/G153)</f>
        <v>-37.988201149425279</v>
      </c>
      <c r="H1083" s="30">
        <f>IF(H153&lt;1,-(H339+H525+H711+H897),-(H339+H525+'3. General Model Inputs'!$D$53*H711+H897)/H153)</f>
        <v>-37.988201149425279</v>
      </c>
    </row>
    <row r="1084" spans="2:8">
      <c r="B1084" s="152">
        <f t="shared" si="36"/>
        <v>0</v>
      </c>
      <c r="D1084" s="30">
        <f>IF(D154&lt;1,-(D340+D526+D712+D898),-(D340+D526+'3. General Model Inputs'!$D$53*D712+D898)/D154)</f>
        <v>0</v>
      </c>
      <c r="E1084" s="30">
        <f>IF(E154&lt;1,-(E340+E526+E712+E898),-(E340+E526+'3. General Model Inputs'!$D$53*E712+E898)/E154)</f>
        <v>0</v>
      </c>
      <c r="F1084" s="30">
        <f>IF(F154&lt;1,-(F340+F526+F712+F898),-(F340+F526+'3. General Model Inputs'!$D$53*F712+F898)/F154)</f>
        <v>-83.333333333333329</v>
      </c>
      <c r="G1084" s="30">
        <f>IF(G154&lt;1,-(G340+G526+G712+G898),-(G340+G526+'3. General Model Inputs'!$D$53*G712+G898)/G154)</f>
        <v>-169.54022988505747</v>
      </c>
      <c r="H1084" s="30">
        <f>IF(H154&lt;1,-(H340+H526+H712+H898),-(H340+H526+'3. General Model Inputs'!$D$53*H712+H898)/H154)</f>
        <v>-169.54022988505747</v>
      </c>
    </row>
    <row r="1085" spans="2:8">
      <c r="B1085" s="152">
        <f t="shared" si="36"/>
        <v>0</v>
      </c>
      <c r="D1085" s="30">
        <f>IF(D155&lt;1,-(D341+D527+D713+D899),-(D341+D527+'3. General Model Inputs'!$D$53*D713+D899)/D155)</f>
        <v>0</v>
      </c>
      <c r="E1085" s="30">
        <f>IF(E155&lt;1,-(E341+E527+E713+E899),-(E341+E527+'3. General Model Inputs'!$D$53*E713+E899)/E155)</f>
        <v>0</v>
      </c>
      <c r="F1085" s="30">
        <f>IF(F155&lt;1,-(F341+F527+F713+F899),-(F341+F527+'3. General Model Inputs'!$D$53*F713+F899)/F155)</f>
        <v>0</v>
      </c>
      <c r="G1085" s="30">
        <f>IF(G155&lt;1,-(G341+G527+G713+G899),-(G341+G527+'3. General Model Inputs'!$D$53*G713+G899)/G155)</f>
        <v>-83.333333333333329</v>
      </c>
      <c r="H1085" s="30">
        <f>IF(H155&lt;1,-(H341+H527+H713+H899),-(H341+H527+'3. General Model Inputs'!$D$53*H713+H899)/H155)</f>
        <v>-169.54022988505747</v>
      </c>
    </row>
    <row r="1086" spans="2:8">
      <c r="B1086" s="152">
        <f t="shared" si="36"/>
        <v>0</v>
      </c>
      <c r="D1086" s="30">
        <f>IF(D156&lt;1,-(D342+D528+D714+D900),-(D342+D528+'3. General Model Inputs'!$D$53*D714+D900)/D156)</f>
        <v>0</v>
      </c>
      <c r="E1086" s="30">
        <f>IF(E156&lt;1,-(E342+E528+E714+E900),-(E342+E528+'3. General Model Inputs'!$D$53*E714+E900)/E156)</f>
        <v>0</v>
      </c>
      <c r="F1086" s="30">
        <f>IF(F156&lt;1,-(F342+F528+F714+F900),-(F342+F528+'3. General Model Inputs'!$D$53*F714+F900)/F156)</f>
        <v>0</v>
      </c>
      <c r="G1086" s="30">
        <f>IF(G156&lt;1,-(G342+G528+G714+G900),-(G342+G528+'3. General Model Inputs'!$D$53*G714+G900)/G156)</f>
        <v>0</v>
      </c>
      <c r="H1086" s="30">
        <f>IF(H156&lt;1,-(H342+H528+H714+H900),-(H342+H528+'3. General Model Inputs'!$D$53*H714+H900)/H156)</f>
        <v>-83.333333333333329</v>
      </c>
    </row>
    <row r="1087" spans="2:8">
      <c r="B1087" s="152">
        <f t="shared" si="36"/>
        <v>0</v>
      </c>
      <c r="D1087" s="30">
        <f>IF(D157&lt;1,-(D343+D529+D715+D901),-(D343+D529+'3. General Model Inputs'!$D$53*D715+D901)/D157)</f>
        <v>-4024.3712500000001</v>
      </c>
      <c r="E1087" s="30">
        <f>IF(E157&lt;1,-(E343+E529+E715+E901),-(E343+E529+'3. General Model Inputs'!$D$53*E715+E901)/E157)</f>
        <v>-8151.9315064102557</v>
      </c>
      <c r="F1087" s="30">
        <f>IF(F157&lt;1,-(F343+F529+F715+F901),-(F343+F529+'3. General Model Inputs'!$D$53*F715+F901)/F157)</f>
        <v>-8151.9315064102566</v>
      </c>
      <c r="G1087" s="30">
        <f>IF(G157&lt;1,-(G343+G529+G715+G901),-(G343+G529+'3. General Model Inputs'!$D$53*G715+G901)/G157)</f>
        <v>-8151.9315064102566</v>
      </c>
      <c r="H1087" s="30">
        <f>IF(H157&lt;1,-(H343+H529+H715+H901),-(H343+H529+'3. General Model Inputs'!$D$53*H715+H901)/H157)</f>
        <v>-8151.9315064102575</v>
      </c>
    </row>
    <row r="1088" spans="2:8">
      <c r="B1088" s="152">
        <f t="shared" si="36"/>
        <v>0</v>
      </c>
      <c r="D1088" s="30">
        <f>IF(D158&lt;1,-(D344+D530+D716+D902),-(D344+D530+'3. General Model Inputs'!$D$53*D716+D902)/D158)</f>
        <v>0</v>
      </c>
      <c r="E1088" s="30">
        <f>IF(E158&lt;1,-(E344+E530+E716+E902),-(E344+E530+'3. General Model Inputs'!$D$53*E716+E902)/E158)</f>
        <v>-130.05562500000002</v>
      </c>
      <c r="F1088" s="30">
        <f>IF(F158&lt;1,-(F344+F530+F716+F902),-(F344+F530+'3. General Model Inputs'!$D$53*F716+F902)/F158)</f>
        <v>-263.44600961538464</v>
      </c>
      <c r="G1088" s="30">
        <f>IF(G158&lt;1,-(G344+G530+G716+G902),-(G344+G530+'3. General Model Inputs'!$D$53*G716+G902)/G158)</f>
        <v>-263.44600961538458</v>
      </c>
      <c r="H1088" s="30">
        <f>IF(H158&lt;1,-(H344+H530+H716+H902),-(H344+H530+'3. General Model Inputs'!$D$53*H716+H902)/H158)</f>
        <v>-263.44600961538458</v>
      </c>
    </row>
    <row r="1089" spans="2:8">
      <c r="B1089" s="152">
        <f t="shared" si="36"/>
        <v>0</v>
      </c>
      <c r="D1089" s="30">
        <f>IF(D159&lt;1,-(D345+D531+D717+D903),-(D345+D531+'3. General Model Inputs'!$D$53*D717+D903)/D159)</f>
        <v>-2428.3736666666668</v>
      </c>
      <c r="E1089" s="30">
        <f>IF(E159&lt;1,-(E345+E531+E717+E903),-(E345+E531+'3. General Model Inputs'!$D$53*E717+E903)/E159)</f>
        <v>-5030.2025952380955</v>
      </c>
      <c r="F1089" s="30">
        <f>IF(F159&lt;1,-(F345+F531+F717+F903),-(F345+F531+'3. General Model Inputs'!$D$53*F717+F903)/F159)</f>
        <v>-5030.2025952380955</v>
      </c>
      <c r="G1089" s="30">
        <f>IF(G159&lt;1,-(G345+G531+G717+G903),-(G345+G531+'3. General Model Inputs'!$D$53*G717+G903)/G159)</f>
        <v>-5030.2025952380964</v>
      </c>
      <c r="H1089" s="30">
        <f>IF(H159&lt;1,-(H345+H531+H717+H903),-(H345+H531+'3. General Model Inputs'!$D$53*H717+H903)/H159)</f>
        <v>-5030.2025952380964</v>
      </c>
    </row>
    <row r="1090" spans="2:8">
      <c r="B1090" s="152">
        <f t="shared" si="36"/>
        <v>0</v>
      </c>
      <c r="D1090" s="30">
        <f>IF(D160&lt;1,-(D346+D532+D718+D904),-(D346+D532+'3. General Model Inputs'!$D$53*D718+D904)/D160)</f>
        <v>0</v>
      </c>
      <c r="E1090" s="30">
        <f>IF(E160&lt;1,-(E346+E532+E718+E904),-(E346+E532+'3. General Model Inputs'!$D$53*E718+E904)/E160)</f>
        <v>-773.4375</v>
      </c>
      <c r="F1090" s="30">
        <f>IF(F160&lt;1,-(F346+F532+F718+F904),-(F346+F532+'3. General Model Inputs'!$D$53*F718+F904)/F160)</f>
        <v>-1556.6653481012659</v>
      </c>
      <c r="G1090" s="30">
        <f>IF(G160&lt;1,-(G346+G532+G718+G904),-(G346+G532+'3. General Model Inputs'!$D$53*G718+G904)/G160)</f>
        <v>-1556.6653481012659</v>
      </c>
      <c r="H1090" s="30">
        <f>IF(H160&lt;1,-(H346+H532+H718+H904),-(H346+H532+'3. General Model Inputs'!$D$53*H718+H904)/H160)</f>
        <v>-1556.6653481012659</v>
      </c>
    </row>
    <row r="1091" spans="2:8">
      <c r="B1091" s="152">
        <f t="shared" si="36"/>
        <v>0</v>
      </c>
      <c r="D1091" s="30">
        <f>IF(D161&lt;1,-(D347+D533+D719+D905),-(D347+D533+'3. General Model Inputs'!$D$53*D719+D905)/D161)</f>
        <v>-524.21900000000005</v>
      </c>
      <c r="E1091" s="30">
        <f>IF(E161&lt;1,-(E347+E533+E719+E905),-(E347+E533+'3. General Model Inputs'!$D$53*E719+E905)/E161)</f>
        <v>-1061.8795128205129</v>
      </c>
      <c r="F1091" s="30">
        <f>IF(F161&lt;1,-(F347+F533+F719+F905),-(F347+F533+'3. General Model Inputs'!$D$53*F719+F905)/F161)</f>
        <v>-1061.8795128205131</v>
      </c>
      <c r="G1091" s="30">
        <f>IF(G161&lt;1,-(G347+G533+G719+G905),-(G347+G533+'3. General Model Inputs'!$D$53*G719+G905)/G161)</f>
        <v>-1061.8795128205129</v>
      </c>
      <c r="H1091" s="30">
        <f>IF(H161&lt;1,-(H347+H533+H719+H905),-(H347+H533+'3. General Model Inputs'!$D$53*H719+H905)/H161)</f>
        <v>-1061.8795128205129</v>
      </c>
    </row>
    <row r="1092" spans="2:8">
      <c r="B1092" s="152">
        <f t="shared" si="36"/>
        <v>0</v>
      </c>
      <c r="D1092" s="30">
        <f>IF(D162&lt;1,-(D348+D534+D720+D906),-(D348+D534+'3. General Model Inputs'!$D$53*D720+D906)/D162)</f>
        <v>0</v>
      </c>
      <c r="E1092" s="30">
        <f>IF(E162&lt;1,-(E348+E534+E720+E906),-(E348+E534+'3. General Model Inputs'!$D$53*E720+E906)/E162)</f>
        <v>-2250</v>
      </c>
      <c r="F1092" s="30">
        <f>IF(F162&lt;1,-(F348+F534+F720+F906),-(F348+F534+'3. General Model Inputs'!$D$53*F720+F906)/F162)</f>
        <v>-4538.1355932203387</v>
      </c>
      <c r="G1092" s="30">
        <f>IF(G162&lt;1,-(G348+G534+G720+G906),-(G348+G534+'3. General Model Inputs'!$D$53*G720+G906)/G162)</f>
        <v>-4538.1355932203387</v>
      </c>
      <c r="H1092" s="30">
        <f>IF(H162&lt;1,-(H348+H534+H720+H906),-(H348+H534+'3. General Model Inputs'!$D$53*H720+H906)/H162)</f>
        <v>-4538.1355932203387</v>
      </c>
    </row>
    <row r="1093" spans="2:8">
      <c r="B1093" s="152">
        <f t="shared" si="36"/>
        <v>0</v>
      </c>
      <c r="D1093" s="30">
        <f>IF(D163&lt;1,-(D349+D535+D721+D907),-(D349+D535+'3. General Model Inputs'!$D$53*D721+D907)/D163)</f>
        <v>0</v>
      </c>
      <c r="E1093" s="30">
        <f>IF(E163&lt;1,-(E349+E535+E721+E907),-(E349+E535+'3. General Model Inputs'!$D$53*E721+E907)/E163)</f>
        <v>-4249.95</v>
      </c>
      <c r="F1093" s="30">
        <f>IF(F163&lt;1,-(F349+F535+F721+F907),-(F349+F535+'3. General Model Inputs'!$D$53*F721+F907)/F163)</f>
        <v>-8972.1166666666668</v>
      </c>
      <c r="G1093" s="30">
        <f>IF(G163&lt;1,-(G349+G535+G721+G907),-(G349+G535+'3. General Model Inputs'!$D$53*G721+G907)/G163)</f>
        <v>-8972.1166666666668</v>
      </c>
      <c r="H1093" s="30">
        <f>IF(H163&lt;1,-(H349+H535+H721+H907),-(H349+H535+'3. General Model Inputs'!$D$53*H721+H907)/H163)</f>
        <v>-8972.1166666666668</v>
      </c>
    </row>
    <row r="1094" spans="2:8">
      <c r="B1094" s="152">
        <f t="shared" si="36"/>
        <v>0</v>
      </c>
      <c r="D1094" s="30">
        <f>IF(D164&lt;1,-(D350+D536+D722+D908),-(D350+D536+'3. General Model Inputs'!$D$53*D722+D908)/D164)</f>
        <v>-3423.936666666667</v>
      </c>
      <c r="E1094" s="30">
        <f>IF(E164&lt;1,-(E350+E536+E722+E908),-(E350+E536+'3. General Model Inputs'!$D$53*E722+E908)/E164)</f>
        <v>-7092.4402380952388</v>
      </c>
      <c r="F1094" s="30">
        <f>IF(F164&lt;1,-(F350+F536+F722+F908),-(F350+F536+'3. General Model Inputs'!$D$53*F722+F908)/F164)</f>
        <v>-7092.4402380952388</v>
      </c>
      <c r="G1094" s="30">
        <f>IF(G164&lt;1,-(G350+G536+G722+G908),-(G350+G536+'3. General Model Inputs'!$D$53*G722+G908)/G164)</f>
        <v>-7092.4402380952388</v>
      </c>
      <c r="H1094" s="30">
        <f>IF(H164&lt;1,-(H350+H536+H722+H908),-(H350+H536+'3. General Model Inputs'!$D$53*H722+H908)/H164)</f>
        <v>-7092.4402380952388</v>
      </c>
    </row>
    <row r="1095" spans="2:8">
      <c r="B1095" s="152">
        <f t="shared" si="36"/>
        <v>0</v>
      </c>
      <c r="D1095" s="30">
        <f>IF(D165&lt;1,-(D351+D537+D723+D909),-(D351+D537+'3. General Model Inputs'!$D$53*D723+D909)/D165)</f>
        <v>0</v>
      </c>
      <c r="E1095" s="30">
        <f>IF(E165&lt;1,-(E351+E537+E723+E909),-(E351+E537+'3. General Model Inputs'!$D$53*E723+E909)/E165)</f>
        <v>-115.17133333333332</v>
      </c>
      <c r="F1095" s="30">
        <f>IF(F165&lt;1,-(F351+F537+F723+F909),-(F351+F537+'3. General Model Inputs'!$D$53*F723+F909)/F165)</f>
        <v>-238.56919047619047</v>
      </c>
      <c r="G1095" s="30">
        <f>IF(G165&lt;1,-(G351+G537+G723+G909),-(G351+G537+'3. General Model Inputs'!$D$53*G723+G909)/G165)</f>
        <v>-238.56919047619047</v>
      </c>
      <c r="H1095" s="30">
        <f>IF(H165&lt;1,-(H351+H537+H723+H909),-(H351+H537+'3. General Model Inputs'!$D$53*H723+H909)/H165)</f>
        <v>-238.56919047619044</v>
      </c>
    </row>
    <row r="1096" spans="2:8">
      <c r="B1096" s="152">
        <f t="shared" si="36"/>
        <v>0</v>
      </c>
      <c r="D1096" s="30">
        <f>IF(D166&lt;1,-(D352+D538+D724+D910),-(D352+D538+'3. General Model Inputs'!$D$53*D724+D910)/D166)</f>
        <v>-1975.7872499999999</v>
      </c>
      <c r="E1096" s="30">
        <f>IF(E166&lt;1,-(E352+E538+E724+E910),-(E352+E538+'3. General Model Inputs'!$D$53*E724+E910)/E166)</f>
        <v>-4002.2357115384611</v>
      </c>
      <c r="F1096" s="30">
        <f>IF(F166&lt;1,-(F352+F538+F724+F910),-(F352+F538+'3. General Model Inputs'!$D$53*F724+F910)/F166)</f>
        <v>-4002.2357115384611</v>
      </c>
      <c r="G1096" s="30">
        <f>IF(G166&lt;1,-(G352+G538+G724+G910),-(G352+G538+'3. General Model Inputs'!$D$53*G724+G910)/G166)</f>
        <v>-4002.2357115384611</v>
      </c>
      <c r="H1096" s="30">
        <f>IF(H166&lt;1,-(H352+H538+H724+H910),-(H352+H538+'3. General Model Inputs'!$D$53*H724+H910)/H166)</f>
        <v>-4002.2357115384607</v>
      </c>
    </row>
    <row r="1097" spans="2:8">
      <c r="B1097" s="152">
        <f t="shared" si="36"/>
        <v>0</v>
      </c>
      <c r="D1097" s="30">
        <f>IF(D167&lt;1,-(D353+D539+D725+D911),-(D353+D539+'3. General Model Inputs'!$D$53*D725+D911)/D167)</f>
        <v>0</v>
      </c>
      <c r="E1097" s="30">
        <f>IF(E167&lt;1,-(E353+E539+E725+E911),-(E353+E539+'3. General Model Inputs'!$D$53*E725+E911)/E167)</f>
        <v>-988.23199999999997</v>
      </c>
      <c r="F1097" s="30">
        <f>IF(F167&lt;1,-(F353+F539+F725+F911),-(F353+F539+'3. General Model Inputs'!$D$53*F725+F911)/F167)</f>
        <v>-2001.8032820512819</v>
      </c>
      <c r="G1097" s="30">
        <f>IF(G167&lt;1,-(G353+G539+G725+G911),-(G353+G539+'3. General Model Inputs'!$D$53*G725+G911)/G167)</f>
        <v>-2001.8032820512817</v>
      </c>
      <c r="H1097" s="30">
        <f>IF(H167&lt;1,-(H353+H539+H725+H911),-(H353+H539+'3. General Model Inputs'!$D$53*H725+H911)/H167)</f>
        <v>-2001.8032820512819</v>
      </c>
    </row>
    <row r="1098" spans="2:8">
      <c r="B1098" s="152">
        <f t="shared" si="36"/>
        <v>0</v>
      </c>
      <c r="D1098" s="30">
        <f>IF(D168&lt;1,-(D354+D540+D726+D912),-(D354+D540+'3. General Model Inputs'!$D$53*D726+D912)/D168)</f>
        <v>-1820.1295</v>
      </c>
      <c r="E1098" s="30">
        <f>IF(E168&lt;1,-(E354+E540+E726+E912),-(E354+E540+'3. General Model Inputs'!$D$53*E726+E912)/E168)</f>
        <v>-3671.108652542373</v>
      </c>
      <c r="F1098" s="30">
        <f>IF(F168&lt;1,-(F354+F540+F726+F912),-(F354+F540+'3. General Model Inputs'!$D$53*F726+F912)/F168)</f>
        <v>-3671.108652542373</v>
      </c>
      <c r="G1098" s="30">
        <f>IF(G168&lt;1,-(G354+G540+G726+G912),-(G354+G540+'3. General Model Inputs'!$D$53*G726+G912)/G168)</f>
        <v>-3671.108652542373</v>
      </c>
      <c r="H1098" s="30">
        <f>IF(H168&lt;1,-(H354+H540+H726+H912),-(H354+H540+'3. General Model Inputs'!$D$53*H726+H912)/H168)</f>
        <v>-3671.108652542373</v>
      </c>
    </row>
    <row r="1099" spans="2:8">
      <c r="B1099" s="152">
        <f t="shared" si="36"/>
        <v>0</v>
      </c>
      <c r="D1099" s="30">
        <f>IF(D169&lt;1,-(D355+D541+D727+D913),-(D355+D541+'3. General Model Inputs'!$D$53*D727+D913)/D169)</f>
        <v>0</v>
      </c>
      <c r="E1099" s="30">
        <f>IF(E169&lt;1,-(E355+E541+E727+E913),-(E355+E541+'3. General Model Inputs'!$D$53*E727+E913)/E169)</f>
        <v>-1133.3333333333333</v>
      </c>
      <c r="F1099" s="30">
        <f>IF(F169&lt;1,-(F355+F541+F727+F913),-(F355+F541+'3. General Model Inputs'!$D$53*F727+F913)/F169)</f>
        <v>-2285.8757062146892</v>
      </c>
      <c r="G1099" s="30">
        <f>IF(G169&lt;1,-(G355+G541+G727+G913),-(G355+G541+'3. General Model Inputs'!$D$53*G727+G913)/G169)</f>
        <v>-2285.8757062146892</v>
      </c>
      <c r="H1099" s="30">
        <f>IF(H169&lt;1,-(H355+H541+H727+H913),-(H355+H541+'3. General Model Inputs'!$D$53*H727+H913)/H169)</f>
        <v>-2285.8757062146892</v>
      </c>
    </row>
    <row r="1100" spans="2:8">
      <c r="B1100" s="152">
        <f t="shared" si="36"/>
        <v>0</v>
      </c>
      <c r="D1100" s="30">
        <f>IF(D170&lt;1,-(D356+D542+D728+D914),-(D356+D542+'3. General Model Inputs'!$D$53*D728+D914)/D170)</f>
        <v>0</v>
      </c>
      <c r="E1100" s="30">
        <f>IF(E170&lt;1,-(E356+E542+E728+E914),-(E356+E542+'3. General Model Inputs'!$D$53*E728+E914)/E170)</f>
        <v>-1958.3333333333333</v>
      </c>
      <c r="F1100" s="30">
        <f>IF(F170&lt;1,-(F356+F542+F728+F914),-(F356+F542+'3. General Model Inputs'!$D$53*F728+F914)/F170)</f>
        <v>-3949.8587570621467</v>
      </c>
      <c r="G1100" s="30">
        <f>IF(G170&lt;1,-(G356+G542+G728+G914),-(G356+G542+'3. General Model Inputs'!$D$53*G728+G914)/G170)</f>
        <v>-3949.8587570621467</v>
      </c>
      <c r="H1100" s="30">
        <f>IF(H170&lt;1,-(H356+H542+H728+H914),-(H356+H542+'3. General Model Inputs'!$D$53*H728+H914)/H170)</f>
        <v>-3949.8587570621467</v>
      </c>
    </row>
    <row r="1101" spans="2:8">
      <c r="B1101" s="152">
        <f t="shared" si="36"/>
        <v>0</v>
      </c>
      <c r="D1101" s="30">
        <f>IF(D171&lt;1,-(D357+D543+D729+D915),-(D357+D543+'3. General Model Inputs'!$D$53*D729+D915)/D171)</f>
        <v>-7203.8509999999997</v>
      </c>
      <c r="E1101" s="30">
        <f>IF(E171&lt;1,-(E357+E543+E729+E915),-(E357+E543+'3. General Model Inputs'!$D$53*E729+E915)/E171)</f>
        <v>-16208.664749999998</v>
      </c>
      <c r="F1101" s="30">
        <f>IF(F171&lt;1,-(F357+F543+F729+F915),-(F357+F543+'3. General Model Inputs'!$D$53*F729+F915)/F171)</f>
        <v>-16208.664749999998</v>
      </c>
      <c r="G1101" s="30">
        <f>IF(G171&lt;1,-(G357+G543+G729+G915),-(G357+G543+'3. General Model Inputs'!$D$53*G729+G915)/G171)</f>
        <v>-16208.66475</v>
      </c>
      <c r="H1101" s="30">
        <f>IF(H171&lt;1,-(H357+H543+H729+H915),-(H357+H543+'3. General Model Inputs'!$D$53*H729+H915)/H171)</f>
        <v>-16208.66475</v>
      </c>
    </row>
    <row r="1102" spans="2:8">
      <c r="B1102" s="152">
        <f t="shared" si="36"/>
        <v>0</v>
      </c>
      <c r="D1102" s="30">
        <f>IF(D172&lt;1,-(D358+D544+D730+D916),-(D358+D544+'3. General Model Inputs'!$D$53*D730+D916)/D172)</f>
        <v>0</v>
      </c>
      <c r="E1102" s="30">
        <f>IF(E172&lt;1,-(E358+E544+E730+E916),-(E358+E544+'3. General Model Inputs'!$D$53*E730+E916)/E172)</f>
        <v>-11022.429</v>
      </c>
      <c r="F1102" s="30">
        <f>IF(F172&lt;1,-(F358+F544+F730+F916),-(F358+F544+'3. General Model Inputs'!$D$53*F730+F916)/F172)</f>
        <v>-24800.465249999997</v>
      </c>
      <c r="G1102" s="30">
        <f>IF(G172&lt;1,-(G358+G544+G730+G916),-(G358+G544+'3. General Model Inputs'!$D$53*G730+G916)/G172)</f>
        <v>-24800.465249999997</v>
      </c>
      <c r="H1102" s="30">
        <f>IF(H172&lt;1,-(H358+H544+H730+H916),-(H358+H544+'3. General Model Inputs'!$D$53*H730+H916)/H172)</f>
        <v>-24800.465250000001</v>
      </c>
    </row>
    <row r="1103" spans="2:8">
      <c r="B1103" s="152">
        <f t="shared" si="36"/>
        <v>0</v>
      </c>
      <c r="D1103" s="30">
        <f>IF(D173&lt;1,-(D359+D545+D731+D917),-(D359+D545+'3. General Model Inputs'!$D$53*D731+D917)/D173)</f>
        <v>0</v>
      </c>
      <c r="E1103" s="30">
        <f>IF(E173&lt;1,-(E359+E545+E731+E917),-(E359+E545+'3. General Model Inputs'!$D$53*E731+E917)/E173)</f>
        <v>-12500</v>
      </c>
      <c r="F1103" s="30">
        <f>IF(F173&lt;1,-(F359+F545+F731+F917),-(F359+F545+'3. General Model Inputs'!$D$53*F731+F917)/F173)</f>
        <v>-25657.894736842107</v>
      </c>
      <c r="G1103" s="30">
        <f>IF(G173&lt;1,-(G359+G545+G731+G917),-(G359+G545+'3. General Model Inputs'!$D$53*G731+G917)/G173)</f>
        <v>-25657.894736842103</v>
      </c>
      <c r="H1103" s="30">
        <f>IF(H173&lt;1,-(H359+H545+H731+H917),-(H359+H545+'3. General Model Inputs'!$D$53*H731+H917)/H173)</f>
        <v>-25657.894736842107</v>
      </c>
    </row>
    <row r="1104" spans="2:8">
      <c r="B1104" s="152">
        <f t="shared" si="36"/>
        <v>0</v>
      </c>
      <c r="D1104" s="30">
        <f>IF(D174&lt;1,-(D360+D546+D732+D918),-(D360+D546+'3. General Model Inputs'!$D$53*D732+D918)/D174)</f>
        <v>-6814.1102500000006</v>
      </c>
      <c r="E1104" s="30">
        <f>IF(E174&lt;1,-(E360+E546+E732+E918),-(E360+E546+'3. General Model Inputs'!$D$53*E732+E918)/E174)</f>
        <v>-13802.941275641027</v>
      </c>
      <c r="F1104" s="30">
        <f>IF(F174&lt;1,-(F360+F546+F732+F918),-(F360+F546+'3. General Model Inputs'!$D$53*F732+F918)/F174)</f>
        <v>-13802.941275641027</v>
      </c>
      <c r="G1104" s="30">
        <f>IF(G174&lt;1,-(G360+G546+G732+G918),-(G360+G546+'3. General Model Inputs'!$D$53*G732+G918)/G174)</f>
        <v>-13802.941275641027</v>
      </c>
      <c r="H1104" s="30">
        <f>IF(H174&lt;1,-(H360+H546+H732+H918),-(H360+H546+'3. General Model Inputs'!$D$53*H732+H918)/H174)</f>
        <v>-13802.941275641027</v>
      </c>
    </row>
    <row r="1105" spans="2:8">
      <c r="B1105" s="152">
        <f t="shared" si="36"/>
        <v>0</v>
      </c>
      <c r="D1105" s="30">
        <f>IF(D175&lt;1,-(D361+D547+D733+D919),-(D361+D547+'3. General Model Inputs'!$D$53*D733+D919)/D175)</f>
        <v>0</v>
      </c>
      <c r="E1105" s="30">
        <f>IF(E175&lt;1,-(E361+E547+E733+E919),-(E361+E547+'3. General Model Inputs'!$D$53*E733+E919)/E175)</f>
        <v>-22667.18075</v>
      </c>
      <c r="F1105" s="30">
        <f>IF(F175&lt;1,-(F361+F547+F733+F919),-(F361+F547+'3. General Model Inputs'!$D$53*F733+F919)/F175)</f>
        <v>-45915.571262820507</v>
      </c>
      <c r="G1105" s="30">
        <f>IF(G175&lt;1,-(G361+G547+G733+G919),-(G361+G547+'3. General Model Inputs'!$D$53*G733+G919)/G175)</f>
        <v>-45915.571262820515</v>
      </c>
      <c r="H1105" s="30">
        <f>IF(H175&lt;1,-(H361+H547+H733+H919),-(H361+H547+'3. General Model Inputs'!$D$53*H733+H919)/H175)</f>
        <v>-45915.571262820507</v>
      </c>
    </row>
    <row r="1106" spans="2:8">
      <c r="B1106" s="152">
        <f t="shared" si="36"/>
        <v>0</v>
      </c>
      <c r="D1106" s="30">
        <f>IF(D176&lt;1,-(D362+D548+D734+D920),-(D362+D548+'3. General Model Inputs'!$D$53*D734+D920)/D176)</f>
        <v>0</v>
      </c>
      <c r="E1106" s="30">
        <f>IF(E176&lt;1,-(E362+E548+E734+E920),-(E362+E548+'3. General Model Inputs'!$D$53*E734+E920)/E176)</f>
        <v>-2000</v>
      </c>
      <c r="F1106" s="30">
        <f>IF(F176&lt;1,-(F362+F548+F734+F920),-(F362+F548+'3. General Model Inputs'!$D$53*F734+F920)/F176)</f>
        <v>-4051.2820512820513</v>
      </c>
      <c r="G1106" s="30">
        <f>IF(G176&lt;1,-(G362+G548+G734+G920),-(G362+G548+'3. General Model Inputs'!$D$53*G734+G920)/G176)</f>
        <v>-4051.2820512820508</v>
      </c>
      <c r="H1106" s="30">
        <f>IF(H176&lt;1,-(H362+H548+H734+H920),-(H362+H548+'3. General Model Inputs'!$D$53*H734+H920)/H176)</f>
        <v>-4051.2820512820508</v>
      </c>
    </row>
    <row r="1107" spans="2:8">
      <c r="B1107" s="152">
        <f t="shared" si="36"/>
        <v>0</v>
      </c>
      <c r="D1107" s="30">
        <f>IF(D177&lt;1,-(D363+D549+D735+D921),-(D363+D549+'3. General Model Inputs'!$D$53*D735+D921)/D177)</f>
        <v>0</v>
      </c>
      <c r="E1107" s="30">
        <f>IF(E177&lt;1,-(E363+E549+E735+E921),-(E363+E549+'3. General Model Inputs'!$D$53*E735+E921)/E177)</f>
        <v>-10132.500000000002</v>
      </c>
      <c r="F1107" s="30">
        <f>IF(F177&lt;1,-(F363+F549+F735+F921),-(F363+F549+'3. General Model Inputs'!$D$53*F735+F921)/F177)</f>
        <v>-20524.807692307695</v>
      </c>
      <c r="G1107" s="30">
        <f>IF(G177&lt;1,-(G363+G549+G735+G921),-(G363+G549+'3. General Model Inputs'!$D$53*G735+G921)/G177)</f>
        <v>-20524.807692307695</v>
      </c>
      <c r="H1107" s="30">
        <f>IF(H177&lt;1,-(H363+H549+H735+H921),-(H363+H549+'3. General Model Inputs'!$D$53*H735+H921)/H177)</f>
        <v>-20524.807692307691</v>
      </c>
    </row>
    <row r="1108" spans="2:8">
      <c r="B1108" s="152">
        <f t="shared" si="36"/>
        <v>0</v>
      </c>
      <c r="D1108" s="30">
        <f>IF(D178&lt;1,-(D364+D550+D736+D922),-(D364+D550+'3. General Model Inputs'!$D$53*D736+D922)/D178)</f>
        <v>0</v>
      </c>
      <c r="E1108" s="30">
        <f>IF(E178&lt;1,-(E364+E550+E736+E922),-(E364+E550+'3. General Model Inputs'!$D$53*E736+E922)/E178)</f>
        <v>-3375</v>
      </c>
      <c r="F1108" s="30">
        <f>IF(F178&lt;1,-(F364+F550+F736+F922),-(F364+F550+'3. General Model Inputs'!$D$53*F736+F922)/F178)</f>
        <v>-7125</v>
      </c>
      <c r="G1108" s="30">
        <f>IF(G178&lt;1,-(G364+G550+G736+G922),-(G364+G550+'3. General Model Inputs'!$D$53*G736+G922)/G178)</f>
        <v>-7125</v>
      </c>
      <c r="H1108" s="30">
        <f>IF(H178&lt;1,-(H364+H550+H736+H922),-(H364+H550+'3. General Model Inputs'!$D$53*H736+H922)/H178)</f>
        <v>-7125</v>
      </c>
    </row>
    <row r="1109" spans="2:8">
      <c r="B1109" s="152">
        <f t="shared" si="36"/>
        <v>0</v>
      </c>
      <c r="D1109" s="30">
        <f>IF(D179&lt;1,-(D365+D551+D737+D923),-(D365+D551+'3. General Model Inputs'!$D$53*D737+D923)/D179)</f>
        <v>0</v>
      </c>
      <c r="E1109" s="30">
        <f>IF(E179&lt;1,-(E365+E551+E737+E923),-(E365+E551+'3. General Model Inputs'!$D$53*E737+E923)/E179)</f>
        <v>-9479.15625</v>
      </c>
      <c r="F1109" s="30">
        <f>IF(F179&lt;1,-(F365+F551+F737+F923),-(F365+F551+'3. General Model Inputs'!$D$53*F737+F923)/F179)</f>
        <v>-19201.367788461539</v>
      </c>
      <c r="G1109" s="30">
        <f>IF(G179&lt;1,-(G365+G551+G737+G923),-(G365+G551+'3. General Model Inputs'!$D$53*G737+G923)/G179)</f>
        <v>-19201.367788461539</v>
      </c>
      <c r="H1109" s="30">
        <f>IF(H179&lt;1,-(H365+H551+H737+H923),-(H365+H551+'3. General Model Inputs'!$D$53*H737+H923)/H179)</f>
        <v>-19201.367788461539</v>
      </c>
    </row>
    <row r="1110" spans="2:8">
      <c r="B1110" s="152">
        <f t="shared" si="36"/>
        <v>0</v>
      </c>
      <c r="D1110" s="30">
        <f>IF(D180&lt;1,-(D366+D552+D738+D924),-(D366+D552+'3. General Model Inputs'!$D$53*D738+D924)/D180)</f>
        <v>-18377.087658222667</v>
      </c>
      <c r="E1110" s="30">
        <f>IF(E180&lt;1,-(E366+E552+E738+E924),-(E366+E552+'3. General Model Inputs'!$D$53*E738+E924)/E180)</f>
        <v>-36877.51147522535</v>
      </c>
      <c r="F1110" s="30">
        <f>IF(F180&lt;1,-(F366+F552+F738+F924),-(F366+F552+'3. General Model Inputs'!$D$53*F738+F924)/F180)</f>
        <v>-36877.51147522535</v>
      </c>
      <c r="G1110" s="30">
        <f>IF(G180&lt;1,-(G366+G552+G738+G924),-(G366+G552+'3. General Model Inputs'!$D$53*G738+G924)/G180)</f>
        <v>-36877.51147522535</v>
      </c>
      <c r="H1110" s="30">
        <f>IF(H180&lt;1,-(H366+H552+H738+H924),-(H366+H552+'3. General Model Inputs'!$D$53*H738+H924)/H180)</f>
        <v>-36877.511475225358</v>
      </c>
    </row>
    <row r="1111" spans="2:8">
      <c r="B1111" s="152">
        <f t="shared" si="36"/>
        <v>0</v>
      </c>
      <c r="D1111" s="30">
        <f>IF(D181&lt;1,-(D367+D553+D739+D925),-(D367+D553+'3. General Model Inputs'!$D$53*D739+D925)/D181)</f>
        <v>-1292.2366908234339</v>
      </c>
      <c r="E1111" s="30">
        <f>IF(E181&lt;1,-(E367+E553+E739+E925),-(E367+E553+'3. General Model Inputs'!$D$53*E739+E925)/E181)</f>
        <v>-2593.1461111154813</v>
      </c>
      <c r="F1111" s="30">
        <f>IF(F181&lt;1,-(F367+F553+F739+F925),-(F367+F553+'3. General Model Inputs'!$D$53*F739+F925)/F181)</f>
        <v>-2593.1461111154813</v>
      </c>
      <c r="G1111" s="30">
        <f>IF(G181&lt;1,-(G367+G553+G739+G925),-(G367+G553+'3. General Model Inputs'!$D$53*G739+G925)/G181)</f>
        <v>-2593.1461111154813</v>
      </c>
      <c r="H1111" s="30">
        <f>IF(H181&lt;1,-(H367+H553+H739+H925),-(H367+H553+'3. General Model Inputs'!$D$53*H739+H925)/H181)</f>
        <v>-2593.1461111154817</v>
      </c>
    </row>
    <row r="1112" spans="2:8">
      <c r="B1112" s="152">
        <f t="shared" si="36"/>
        <v>0</v>
      </c>
      <c r="D1112" s="30">
        <f>IF(D182&lt;1,-(D368+D554+D740+D926),-(D368+D554+'3. General Model Inputs'!$D$53*D740+D926)/D182)</f>
        <v>-1753.7497481007345</v>
      </c>
      <c r="E1112" s="30">
        <f>IF(E182&lt;1,-(E368+E554+E740+E926),-(E368+E554+'3. General Model Inputs'!$D$53*E740+E926)/E182)</f>
        <v>-3567.9736254463219</v>
      </c>
      <c r="F1112" s="30">
        <f>IF(F182&lt;1,-(F368+F554+F740+F926),-(F368+F554+'3. General Model Inputs'!$D$53*F740+F926)/F182)</f>
        <v>-3567.9736254463219</v>
      </c>
      <c r="G1112" s="30">
        <f>IF(G182&lt;1,-(G368+G554+G740+G926),-(G368+G554+'3. General Model Inputs'!$D$53*G740+G926)/G182)</f>
        <v>-3567.9736254463223</v>
      </c>
      <c r="H1112" s="30">
        <f>IF(H182&lt;1,-(H368+H554+H740+H926),-(H368+H554+'3. General Model Inputs'!$D$53*H740+H926)/H182)</f>
        <v>-3567.9736254463223</v>
      </c>
    </row>
    <row r="1113" spans="2:8">
      <c r="B1113" s="152">
        <f t="shared" si="36"/>
        <v>0</v>
      </c>
      <c r="D1113" s="30">
        <f>IF(D183&lt;1,-(D369+D555+D741+D927),-(D369+D555+'3. General Model Inputs'!$D$53*D741+D927)/D183)</f>
        <v>-276.90777172701712</v>
      </c>
      <c r="E1113" s="30">
        <f>IF(E183&lt;1,-(E369+E555+E741+E927),-(E369+E555+'3. General Model Inputs'!$D$53*E741+E927)/E183)</f>
        <v>-568.38963670282465</v>
      </c>
      <c r="F1113" s="30">
        <f>IF(F183&lt;1,-(F369+F555+F741+F927),-(F369+F555+'3. General Model Inputs'!$D$53*F741+F927)/F183)</f>
        <v>-568.38963670282465</v>
      </c>
      <c r="G1113" s="30">
        <f>IF(G183&lt;1,-(G369+G555+G741+G927),-(G369+G555+'3. General Model Inputs'!$D$53*G741+G927)/G183)</f>
        <v>-568.38963670282465</v>
      </c>
      <c r="H1113" s="30">
        <f>IF(H183&lt;1,-(H369+H555+H741+H927),-(H369+H555+'3. General Model Inputs'!$D$53*H741+H927)/H183)</f>
        <v>-568.38963670282465</v>
      </c>
    </row>
    <row r="1114" spans="2:8">
      <c r="B1114" s="152">
        <f t="shared" si="36"/>
        <v>0</v>
      </c>
      <c r="D1114" s="30">
        <f>IF(D184&lt;1,-(D370+D556+D742+D928),-(D370+D556+'3. General Model Inputs'!$D$53*D742+D928)/D184)</f>
        <v>-2492.1699765527401</v>
      </c>
      <c r="E1114" s="30">
        <f>IF(E184&lt;1,-(E370+E556+E742+E928),-(E370+E556+'3. General Model Inputs'!$D$53*E742+E928)/E184)</f>
        <v>-5261.2477282780073</v>
      </c>
      <c r="F1114" s="30">
        <f>IF(F184&lt;1,-(F370+F556+F742+F928),-(F370+F556+'3. General Model Inputs'!$D$53*F742+F928)/F184)</f>
        <v>-5261.2477282780073</v>
      </c>
      <c r="G1114" s="30">
        <f>IF(G184&lt;1,-(G370+G556+G742+G928),-(G370+G556+'3. General Model Inputs'!$D$53*G742+G928)/G184)</f>
        <v>-5261.2477282780073</v>
      </c>
      <c r="H1114" s="30">
        <f>IF(H184&lt;1,-(H370+H556+H742+H928),-(H370+H556+'3. General Model Inputs'!$D$53*H742+H928)/H184)</f>
        <v>-5261.2477282780064</v>
      </c>
    </row>
    <row r="1115" spans="2:8">
      <c r="B1115" s="152">
        <f t="shared" si="36"/>
        <v>0</v>
      </c>
      <c r="D1115" s="30">
        <f>IF(D185&lt;1,-(D371+D557+D743+D929),-(D371+D557+'3. General Model Inputs'!$D$53*D743+D929)/D185)</f>
        <v>-153.04980273804728</v>
      </c>
      <c r="E1115" s="30">
        <f>IF(E185&lt;1,-(E371+E557+E743+E929),-(E371+E557+'3. General Model Inputs'!$D$53*E743+E929)/E185)</f>
        <v>-314.15485825178121</v>
      </c>
      <c r="F1115" s="30">
        <f>IF(F185&lt;1,-(F371+F557+F743+F929),-(F371+F557+'3. General Model Inputs'!$D$53*F743+F929)/F185)</f>
        <v>-314.15485825178126</v>
      </c>
      <c r="G1115" s="30">
        <f>IF(G185&lt;1,-(G371+G557+G743+G929),-(G371+G557+'3. General Model Inputs'!$D$53*G743+G929)/G185)</f>
        <v>-314.15485825178121</v>
      </c>
      <c r="H1115" s="30">
        <f>IF(H185&lt;1,-(H371+H557+H743+H929),-(H371+H557+'3. General Model Inputs'!$D$53*H743+H929)/H185)</f>
        <v>-314.15485825178121</v>
      </c>
    </row>
    <row r="1116" spans="2:8">
      <c r="B1116" s="152">
        <f t="shared" si="36"/>
        <v>0</v>
      </c>
      <c r="D1116" s="30">
        <f>IF(D186&lt;1,-(D372+D558+D744+D930),-(D372+D558+'3. General Model Inputs'!$D$53*D744+D930)/D186)</f>
        <v>-510.16555635803701</v>
      </c>
      <c r="E1116" s="30">
        <f>IF(E186&lt;1,-(E372+E558+E744+E930),-(E372+E558+'3. General Model Inputs'!$D$53*E744+E930)/E186)</f>
        <v>-1037.9230284525581</v>
      </c>
      <c r="F1116" s="30">
        <f>IF(F186&lt;1,-(F372+F558+F744+F930),-(F372+F558+'3. General Model Inputs'!$D$53*F744+F930)/F186)</f>
        <v>-1037.9230284525581</v>
      </c>
      <c r="G1116" s="30">
        <f>IF(G186&lt;1,-(G372+G558+G744+G930),-(G372+G558+'3. General Model Inputs'!$D$53*G744+G930)/G186)</f>
        <v>-1037.9230284525581</v>
      </c>
      <c r="H1116" s="30">
        <f>IF(H186&lt;1,-(H372+H558+H744+H930),-(H372+H558+'3. General Model Inputs'!$D$53*H744+H930)/H186)</f>
        <v>-1037.9230284525581</v>
      </c>
    </row>
    <row r="1117" spans="2:8">
      <c r="B1117" s="152">
        <f t="shared" si="36"/>
        <v>0</v>
      </c>
      <c r="D1117" s="30">
        <f>IF(D187&lt;1,-(D373+D559+D745+D931),-(D373+D559+'3. General Model Inputs'!$D$53*D745+D931)/D187)</f>
        <v>-458.97069390571579</v>
      </c>
      <c r="E1117" s="30">
        <f>IF(E187&lt;1,-(E373+E559+E745+E931),-(E373+E559+'3. General Model Inputs'!$D$53*E745+E931)/E187)</f>
        <v>-933.76796346335288</v>
      </c>
      <c r="F1117" s="30">
        <f>IF(F187&lt;1,-(F373+F559+F745+F931),-(F373+F559+'3. General Model Inputs'!$D$53*F745+F931)/F187)</f>
        <v>-933.76796346335288</v>
      </c>
      <c r="G1117" s="30">
        <f>IF(G187&lt;1,-(G373+G559+G745+G931),-(G373+G559+'3. General Model Inputs'!$D$53*G745+G931)/G187)</f>
        <v>-933.76796346335277</v>
      </c>
      <c r="H1117" s="30">
        <f>IF(H187&lt;1,-(H373+H559+H745+H931),-(H373+H559+'3. General Model Inputs'!$D$53*H745+H931)/H187)</f>
        <v>-933.76796346335277</v>
      </c>
    </row>
    <row r="1118" spans="2:8">
      <c r="B1118" s="152">
        <f t="shared" si="36"/>
        <v>0</v>
      </c>
      <c r="D1118" s="30">
        <f>IF(D188&lt;1,-(D374+D560+D746+D932),-(D374+D560+'3. General Model Inputs'!$D$53*D746+D932)/D188)</f>
        <v>-153.04966690741111</v>
      </c>
      <c r="E1118" s="30">
        <f>IF(E188&lt;1,-(E374+E560+E746+E932),-(E374+E560+'3. General Model Inputs'!$D$53*E746+E932)/E188)</f>
        <v>-314.15457944152803</v>
      </c>
      <c r="F1118" s="30">
        <f>IF(F188&lt;1,-(F374+F560+F746+F932),-(F374+F560+'3. General Model Inputs'!$D$53*F746+F932)/F188)</f>
        <v>-314.15457944152809</v>
      </c>
      <c r="G1118" s="30">
        <f>IF(G188&lt;1,-(G374+G560+G746+G932),-(G374+G560+'3. General Model Inputs'!$D$53*G746+G932)/G188)</f>
        <v>-314.15457944152809</v>
      </c>
      <c r="H1118" s="30">
        <f>IF(H188&lt;1,-(H374+H560+H746+H932),-(H374+H560+'3. General Model Inputs'!$D$53*H746+H932)/H188)</f>
        <v>-314.15457944152809</v>
      </c>
    </row>
    <row r="1119" spans="2:8">
      <c r="B1119" s="152">
        <f t="shared" si="36"/>
        <v>0</v>
      </c>
      <c r="D1119" s="30">
        <f>IF(D189&lt;1,-(D375+D561+D747+D933),-(D375+D561+'3. General Model Inputs'!$D$53*D747+D933)/D189)</f>
        <v>-229.48544120268707</v>
      </c>
      <c r="E1119" s="30">
        <f>IF(E189&lt;1,-(E375+E561+E747+E933),-(E375+E561+'3. General Model Inputs'!$D$53*E747+E933)/E189)</f>
        <v>-471.04906352130502</v>
      </c>
      <c r="F1119" s="30">
        <f>IF(F189&lt;1,-(F375+F561+F747+F933),-(F375+F561+'3. General Model Inputs'!$D$53*F747+F933)/F189)</f>
        <v>-471.04906352130507</v>
      </c>
      <c r="G1119" s="30">
        <f>IF(G189&lt;1,-(G375+G561+G747+G933),-(G375+G561+'3. General Model Inputs'!$D$53*G747+G933)/G189)</f>
        <v>-471.04906352130502</v>
      </c>
      <c r="H1119" s="30">
        <f>IF(H189&lt;1,-(H375+H561+H747+H933),-(H375+H561+'3. General Model Inputs'!$D$53*H747+H933)/H189)</f>
        <v>-471.04906352130502</v>
      </c>
    </row>
    <row r="1120" spans="2:8">
      <c r="B1120" s="152">
        <f t="shared" si="36"/>
        <v>0</v>
      </c>
      <c r="D1120" s="30">
        <f>IF(D190&lt;1,-(D376+D562+D748+D934),-(D376+D562+'3. General Model Inputs'!$D$53*D748+D934)/D190)</f>
        <v>-2846.7238044778469</v>
      </c>
      <c r="E1120" s="30">
        <f>IF(E190&lt;1,-(E376+E562+E748+E934),-(E376+E562+'3. General Model Inputs'!$D$53*E748+E934)/E190)</f>
        <v>-5722.2023948595106</v>
      </c>
      <c r="F1120" s="30">
        <f>IF(F190&lt;1,-(F376+F562+F748+F934),-(F376+F562+'3. General Model Inputs'!$D$53*F748+F934)/F190)</f>
        <v>-5722.2023948595097</v>
      </c>
      <c r="G1120" s="30">
        <f>IF(G190&lt;1,-(G376+G562+G748+G934),-(G376+G562+'3. General Model Inputs'!$D$53*G748+G934)/G190)</f>
        <v>-5722.2023948595097</v>
      </c>
      <c r="H1120" s="30">
        <f>IF(H190&lt;1,-(H376+H562+H748+H934),-(H376+H562+'3. General Model Inputs'!$D$53*H748+H934)/H190)</f>
        <v>-5722.2023948595097</v>
      </c>
    </row>
    <row r="1121" spans="2:8">
      <c r="B1121" s="152">
        <f t="shared" si="36"/>
        <v>0</v>
      </c>
      <c r="D1121" s="30">
        <f>IF(D191&lt;1,-(D377+D563+D749+D935),-(D377+D563+'3. General Model Inputs'!$D$53*D749+D935)/D191)</f>
        <v>-504.86775886100128</v>
      </c>
      <c r="E1121" s="30">
        <f>IF(E191&lt;1,-(E377+E563+E749+E935),-(E377+E563+'3. General Model Inputs'!$D$53*E749+E935)/E191)</f>
        <v>-1014.8351920539319</v>
      </c>
      <c r="F1121" s="30">
        <f>IF(F191&lt;1,-(F377+F563+F749+F935),-(F377+F563+'3. General Model Inputs'!$D$53*F749+F935)/F191)</f>
        <v>-1014.8351920539319</v>
      </c>
      <c r="G1121" s="30">
        <f>IF(G191&lt;1,-(G377+G563+G749+G935),-(G377+G563+'3. General Model Inputs'!$D$53*G749+G935)/G191)</f>
        <v>-1014.8351920539319</v>
      </c>
      <c r="H1121" s="30">
        <f>IF(H191&lt;1,-(H377+H563+H749+H935),-(H377+H563+'3. General Model Inputs'!$D$53*H749+H935)/H191)</f>
        <v>-1014.835192053932</v>
      </c>
    </row>
    <row r="1122" spans="2:8">
      <c r="B1122" s="152">
        <f t="shared" si="36"/>
        <v>0</v>
      </c>
      <c r="D1122" s="30">
        <f>IF(D192&lt;1,-(D378+D564+D750+D936),-(D378+D564+'3. General Model Inputs'!$D$53*D750+D936)/D192)</f>
        <v>-6884.559715572288</v>
      </c>
      <c r="E1122" s="30">
        <f>IF(E192&lt;1,-(E378+E564+E750+E936),-(E378+E564+'3. General Model Inputs'!$D$53*E750+E936)/E192)</f>
        <v>-14534.070510652607</v>
      </c>
      <c r="F1122" s="30">
        <f>IF(F192&lt;1,-(F378+F564+F750+F936),-(F378+F564+'3. General Model Inputs'!$D$53*F750+F936)/F192)</f>
        <v>-14534.070510652607</v>
      </c>
      <c r="G1122" s="30">
        <f>IF(G192&lt;1,-(G378+G564+G750+G936),-(G378+G564+'3. General Model Inputs'!$D$53*G750+G936)/G192)</f>
        <v>-14534.070510652606</v>
      </c>
      <c r="H1122" s="30">
        <f>IF(H192&lt;1,-(H378+H564+H750+H936),-(H378+H564+'3. General Model Inputs'!$D$53*H750+H936)/H192)</f>
        <v>-14534.070510652607</v>
      </c>
    </row>
    <row r="1123" spans="2:8">
      <c r="B1123" s="152">
        <f t="shared" si="36"/>
        <v>0</v>
      </c>
      <c r="D1123" s="30">
        <f>IF(D193&lt;1,-(D379+D565+D751+D937),-(D379+D565+'3. General Model Inputs'!$D$53*D751+D937)/D193)</f>
        <v>-12851.178431420676</v>
      </c>
      <c r="E1123" s="30">
        <f>IF(E193&lt;1,-(E379+E565+E751+E937),-(E379+E565+'3. General Model Inputs'!$D$53*E751+E937)/E193)</f>
        <v>-26237.822630817212</v>
      </c>
      <c r="F1123" s="30">
        <f>IF(F193&lt;1,-(F379+F565+F751+F937),-(F379+F565+'3. General Model Inputs'!$D$53*F751+F937)/F193)</f>
        <v>-26237.822630817212</v>
      </c>
      <c r="G1123" s="30">
        <f>IF(G193&lt;1,-(G379+G565+G751+G937),-(G379+G565+'3. General Model Inputs'!$D$53*G751+G937)/G193)</f>
        <v>-26237.822630817212</v>
      </c>
      <c r="H1123" s="30">
        <f>IF(H193&lt;1,-(H379+H565+H751+H937),-(H379+H565+'3. General Model Inputs'!$D$53*H751+H937)/H193)</f>
        <v>-26237.822630817216</v>
      </c>
    </row>
    <row r="1124" spans="2:8">
      <c r="B1124" s="152">
        <f t="shared" si="36"/>
        <v>0</v>
      </c>
      <c r="D1124" s="30">
        <f>IF(D194&lt;1,-(D380+D566+D752+D938),-(D380+D566+'3. General Model Inputs'!$D$53*D752+D938)/D194)</f>
        <v>-1598.57</v>
      </c>
      <c r="E1124" s="30">
        <f>IF(E194&lt;1,-(E380+E566+E752+E938),-(E380+E566+'3. General Model Inputs'!$D$53*E752+E938)/E194)</f>
        <v>-3207.8686577181206</v>
      </c>
      <c r="F1124" s="30">
        <f>IF(F194&lt;1,-(F380+F566+F752+F938),-(F380+F566+'3. General Model Inputs'!$D$53*F752+F938)/F194)</f>
        <v>-3207.8686577181206</v>
      </c>
      <c r="G1124" s="30">
        <f>IF(G194&lt;1,-(G380+G566+G752+G938),-(G380+G566+'3. General Model Inputs'!$D$53*G752+G938)/G194)</f>
        <v>-3207.8686577181206</v>
      </c>
      <c r="H1124" s="30">
        <f>IF(H194&lt;1,-(H380+H566+H752+H938),-(H380+H566+'3. General Model Inputs'!$D$53*H752+H938)/H194)</f>
        <v>-3207.8686577181206</v>
      </c>
    </row>
    <row r="1125" spans="2:8">
      <c r="B1125" s="152">
        <f t="shared" si="36"/>
        <v>0</v>
      </c>
      <c r="D1125" s="30">
        <f>IF(D195&lt;1,-(D381+D567+D753+D939),-(D381+D567+'3. General Model Inputs'!$D$53*D753+D939)/D195)</f>
        <v>-167.20036157274677</v>
      </c>
      <c r="E1125" s="30">
        <f>IF(E195&lt;1,-(E381+E567+E753+E939),-(E381+E567+'3. General Model Inputs'!$D$53*E753+E939)/E195)</f>
        <v>-336.08961568663244</v>
      </c>
      <c r="F1125" s="30">
        <f>IF(F195&lt;1,-(F381+F567+F753+F939),-(F381+F567+'3. General Model Inputs'!$D$53*F753+F939)/F195)</f>
        <v>-336.08961568663244</v>
      </c>
      <c r="G1125" s="30">
        <f>IF(G195&lt;1,-(G381+G567+G753+G939),-(G381+G567+'3. General Model Inputs'!$D$53*G753+G939)/G195)</f>
        <v>-336.08961568663244</v>
      </c>
      <c r="H1125" s="30">
        <f>IF(H195&lt;1,-(H381+H567+H753+H939),-(H381+H567+'3. General Model Inputs'!$D$53*H753+H939)/H195)</f>
        <v>-336.08961568663244</v>
      </c>
    </row>
    <row r="1126" spans="2:8">
      <c r="B1126" s="152">
        <f t="shared" si="36"/>
        <v>0</v>
      </c>
      <c r="D1126" s="30">
        <f>IF(D196&lt;1,-(D382+D568+D754+D940),-(D382+D568+'3. General Model Inputs'!$D$53*D754+D940)/D196)</f>
        <v>-1611.8603379032791</v>
      </c>
      <c r="E1126" s="30">
        <f>IF(E196&lt;1,-(E382+E568+E754+E940),-(E382+E568+'3. General Model Inputs'!$D$53*E754+E940)/E196)</f>
        <v>-3244.1239712230554</v>
      </c>
      <c r="F1126" s="30">
        <f>IF(F196&lt;1,-(F382+F568+F754+F940),-(F382+F568+'3. General Model Inputs'!$D$53*F754+F940)/F196)</f>
        <v>-3244.1239712230554</v>
      </c>
      <c r="G1126" s="30">
        <f>IF(G196&lt;1,-(G382+G568+G754+G940),-(G382+G568+'3. General Model Inputs'!$D$53*G754+G940)/G196)</f>
        <v>-3244.1239712230554</v>
      </c>
      <c r="H1126" s="30">
        <f>IF(H196&lt;1,-(H382+H568+H754+H940),-(H382+H568+'3. General Model Inputs'!$D$53*H754+H940)/H196)</f>
        <v>-3244.1239712230558</v>
      </c>
    </row>
    <row r="1127" spans="2:8">
      <c r="B1127" s="152">
        <f t="shared" si="36"/>
        <v>0</v>
      </c>
      <c r="D1127" s="30">
        <f>IF(D197&lt;1,-(D383+D569+D755+D941),-(D383+D569+'3. General Model Inputs'!$D$53*D755+D941)/D197)</f>
        <v>-553.85121805443953</v>
      </c>
      <c r="E1127" s="30">
        <f>IF(E197&lt;1,-(E383+E569+E755+E941),-(E383+E569+'3. General Model Inputs'!$D$53*E755+E941)/E197)</f>
        <v>-1117.0897448894627</v>
      </c>
      <c r="F1127" s="30">
        <f>IF(F197&lt;1,-(F383+F569+F755+F941),-(F383+F569+'3. General Model Inputs'!$D$53*F755+F941)/F197)</f>
        <v>-1117.0897448894627</v>
      </c>
      <c r="G1127" s="30">
        <f>IF(G197&lt;1,-(G383+G569+G755+G941),-(G383+G569+'3. General Model Inputs'!$D$53*G755+G941)/G197)</f>
        <v>-1117.0897448894627</v>
      </c>
      <c r="H1127" s="30">
        <f>IF(H197&lt;1,-(H383+H569+H755+H941),-(H383+H569+'3. General Model Inputs'!$D$53*H755+H941)/H197)</f>
        <v>-1117.0897448894627</v>
      </c>
    </row>
    <row r="1128" spans="2:8">
      <c r="B1128" s="152">
        <f t="shared" si="36"/>
        <v>0</v>
      </c>
      <c r="D1128" s="30">
        <f>IF(D198&lt;1,-(D384+D570+D756+D942),-(D384+D570+'3. General Model Inputs'!$D$53*D756+D942)/D198)</f>
        <v>-491.15106211994367</v>
      </c>
      <c r="E1128" s="30">
        <f>IF(E198&lt;1,-(E384+E570+E756+E942),-(E384+E570+'3. General Model Inputs'!$D$53*E756+E942)/E198)</f>
        <v>-999.23836776126461</v>
      </c>
      <c r="F1128" s="30">
        <f>IF(F198&lt;1,-(F384+F570+F756+F942),-(F384+F570+'3. General Model Inputs'!$D$53*F756+F942)/F198)</f>
        <v>-999.23836776126461</v>
      </c>
      <c r="G1128" s="30">
        <f>IF(G198&lt;1,-(G384+G570+G756+G942),-(G384+G570+'3. General Model Inputs'!$D$53*G756+G942)/G198)</f>
        <v>-999.23836776126473</v>
      </c>
      <c r="H1128" s="30">
        <f>IF(H198&lt;1,-(H384+H570+H756+H942),-(H384+H570+'3. General Model Inputs'!$D$53*H756+H942)/H198)</f>
        <v>-999.23836776126473</v>
      </c>
    </row>
    <row r="1129" spans="2:8">
      <c r="B1129" s="152">
        <f t="shared" si="36"/>
        <v>0</v>
      </c>
      <c r="D1129" s="30">
        <f>IF(D199&lt;1,-(D385+D571+D757+D943),-(D385+D571+'3. General Model Inputs'!$D$53*D757+D943)/D199)</f>
        <v>-491.15106211994367</v>
      </c>
      <c r="E1129" s="30">
        <f>IF(E199&lt;1,-(E385+E571+E757+E943),-(E385+E571+'3. General Model Inputs'!$D$53*E757+E943)/E199)</f>
        <v>-999.23836776126461</v>
      </c>
      <c r="F1129" s="30">
        <f>IF(F199&lt;1,-(F385+F571+F757+F943),-(F385+F571+'3. General Model Inputs'!$D$53*F757+F943)/F199)</f>
        <v>-999.23836776126461</v>
      </c>
      <c r="G1129" s="30">
        <f>IF(G199&lt;1,-(G385+G571+G757+G943),-(G385+G571+'3. General Model Inputs'!$D$53*G757+G943)/G199)</f>
        <v>-999.23836776126473</v>
      </c>
      <c r="H1129" s="30">
        <f>IF(H199&lt;1,-(H385+H571+H757+H943),-(H385+H571+'3. General Model Inputs'!$D$53*H757+H943)/H199)</f>
        <v>-999.23836776126473</v>
      </c>
    </row>
    <row r="1130" spans="2:8">
      <c r="B1130" s="152">
        <f t="shared" si="36"/>
        <v>0</v>
      </c>
      <c r="D1130" s="30">
        <f>IF(D200&lt;1,-(D386+D572+D758+D944),-(D386+D572+'3. General Model Inputs'!$D$53*D758+D944)/D200)</f>
        <v>-521.63125000000002</v>
      </c>
      <c r="E1130" s="30">
        <f>IF(E200&lt;1,-(E386+E572+E758+E944),-(E386+E572+'3. General Model Inputs'!$D$53*E758+E944)/E200)</f>
        <v>-1049.8654272151898</v>
      </c>
      <c r="F1130" s="30">
        <f>IF(F200&lt;1,-(F386+F572+F758+F944),-(F386+F572+'3. General Model Inputs'!$D$53*F758+F944)/F200)</f>
        <v>-1049.8654272151898</v>
      </c>
      <c r="G1130" s="30">
        <f>IF(G200&lt;1,-(G386+G572+G758+G944),-(G386+G572+'3. General Model Inputs'!$D$53*G758+G944)/G200)</f>
        <v>-1049.8654272151898</v>
      </c>
      <c r="H1130" s="30">
        <f>IF(H200&lt;1,-(H386+H572+H758+H944),-(H386+H572+'3. General Model Inputs'!$D$53*H758+H944)/H200)</f>
        <v>-1049.8654272151898</v>
      </c>
    </row>
    <row r="1131" spans="2:8">
      <c r="B1131" s="152">
        <f t="shared" si="36"/>
        <v>0</v>
      </c>
      <c r="D1131" s="30">
        <f>IF(D201&lt;1,-(D387+D573+D759+D945),-(D387+D573+'3. General Model Inputs'!$D$53*D759+D945)/D201)</f>
        <v>-5188.6404999999995</v>
      </c>
      <c r="E1131" s="30">
        <f>IF(E201&lt;1,-(E387+E573+E759+E945),-(E387+E573+'3. General Model Inputs'!$D$53*E759+E945)/E201)</f>
        <v>-10953.796611111111</v>
      </c>
      <c r="F1131" s="30">
        <f>IF(F201&lt;1,-(F387+F573+F759+F945),-(F387+F573+'3. General Model Inputs'!$D$53*F759+F945)/F201)</f>
        <v>-10953.796611111111</v>
      </c>
      <c r="G1131" s="30">
        <f>IF(G201&lt;1,-(G387+G573+G759+G945),-(G387+G573+'3. General Model Inputs'!$D$53*G759+G945)/G201)</f>
        <v>-10953.796611111111</v>
      </c>
      <c r="H1131" s="30">
        <f>IF(H201&lt;1,-(H387+H573+H759+H945),-(H387+H573+'3. General Model Inputs'!$D$53*H759+H945)/H201)</f>
        <v>-10953.796611111109</v>
      </c>
    </row>
    <row r="1132" spans="2:8">
      <c r="B1132" s="2" t="str">
        <f t="shared" si="36"/>
        <v>Carndo Year 4 Reduction</v>
      </c>
      <c r="D1132" s="30">
        <f>IF(D202&lt;1,-(D388+D574+D760+D946),-(D388+D574+'3. General Model Inputs'!$D$53*D760+D946)/D202)</f>
        <v>0</v>
      </c>
      <c r="E1132" s="30">
        <f>IF(E202&lt;1,-(E388+E574+E760+E946),-(E388+E574+'3. General Model Inputs'!$D$53*E760+E946)/E202)</f>
        <v>0</v>
      </c>
      <c r="F1132" s="30">
        <f>IF(F202&lt;1,-(F388+F574+F760+F946),-(F388+F574+'3. General Model Inputs'!$D$53*F760+F946)/F202)</f>
        <v>0</v>
      </c>
      <c r="G1132" s="30">
        <f>IF(G202&lt;1,-(G388+G574+G760+G946),-(G388+G574+'3. General Model Inputs'!$D$53*G760+G946)/G202)</f>
        <v>30523.313151533504</v>
      </c>
      <c r="H1132" s="30">
        <f>IF(H202&lt;1,-(H388+H574+H760+H946),-(H388+H574+'3. General Model Inputs'!$D$53*H760+H946)/H202)</f>
        <v>61969.168238032413</v>
      </c>
    </row>
    <row r="1133" spans="2:8">
      <c r="B1133" s="2" t="str">
        <f t="shared" si="36"/>
        <v>Carndo Year 5 Reduction</v>
      </c>
      <c r="D1133" s="30">
        <f>IF(D203&lt;1,-(D389+D575+D761+D947),-(D389+D575+'3. General Model Inputs'!$D$53*D761+D947)/D203)</f>
        <v>0</v>
      </c>
      <c r="E1133" s="30">
        <f>IF(E203&lt;1,-(E389+E575+E761+E947),-(E389+E575+'3. General Model Inputs'!$D$53*E761+E947)/E203)</f>
        <v>0</v>
      </c>
      <c r="F1133" s="30">
        <f>IF(F203&lt;1,-(F389+F575+F761+F947),-(F389+F575+'3. General Model Inputs'!$D$53*F761+F947)/F203)</f>
        <v>0</v>
      </c>
      <c r="G1133" s="30">
        <f>IF(G203&lt;1,-(G389+G575+G761+G947),-(G389+G575+'3. General Model Inputs'!$D$53*G761+G947)/G203)</f>
        <v>0</v>
      </c>
      <c r="H1133" s="30">
        <f>IF(H203&lt;1,-(H389+H575+H761+H947),-(H389+H575+'3. General Model Inputs'!$D$53*H761+H947)/H203)</f>
        <v>55070.20219298554</v>
      </c>
    </row>
    <row r="1134" spans="2:8">
      <c r="B1134" s="2" t="s">
        <v>54</v>
      </c>
      <c r="D1134" s="48">
        <f>SUM(D951:D1133)</f>
        <v>-459855.59330447396</v>
      </c>
      <c r="E1134" s="48">
        <f>SUM(E951:E1133)</f>
        <v>-1318727.1907214185</v>
      </c>
      <c r="F1134" s="48">
        <f>SUM(F951:F1133)</f>
        <v>-1976663.2542581148</v>
      </c>
      <c r="G1134" s="48">
        <f>SUM(G951:G1133)</f>
        <v>-2599741.4572539525</v>
      </c>
      <c r="H1134" s="48">
        <f>SUM(H951:H1133)</f>
        <v>-3382753.4445133056</v>
      </c>
    </row>
    <row r="1135" spans="2:8">
      <c r="D1135" s="30"/>
      <c r="E1135" s="30"/>
      <c r="F1135" s="30"/>
      <c r="G1135" s="30"/>
      <c r="H1135" s="30"/>
    </row>
    <row r="1136" spans="2:8" ht="15.75">
      <c r="B1136" s="10" t="s">
        <v>14</v>
      </c>
      <c r="D1136" s="30"/>
      <c r="E1136" s="30"/>
      <c r="F1136" s="30"/>
      <c r="G1136" s="30"/>
      <c r="H1136" s="30"/>
    </row>
    <row r="1137" spans="2:8">
      <c r="B1137" s="152">
        <f>B951</f>
        <v>0</v>
      </c>
      <c r="D1137" s="30">
        <f>D207+D393+D765+D951+D579</f>
        <v>164161.75445833331</v>
      </c>
      <c r="E1137" s="30">
        <f>E207+E393+E765+E951+E579</f>
        <v>161379.35184039545</v>
      </c>
      <c r="F1137" s="30">
        <f>F207+F393+F765+F951+F579</f>
        <v>158596.9492224576</v>
      </c>
      <c r="G1137" s="30">
        <f>G207+G393+G765+G951+G579</f>
        <v>155814.54660451974</v>
      </c>
      <c r="H1137" s="30">
        <f>H207+H393+H765+H951+H579</f>
        <v>153032.14398658188</v>
      </c>
    </row>
    <row r="1138" spans="2:8">
      <c r="B1138" s="152">
        <f t="shared" ref="B1138:B1201" si="37">B952</f>
        <v>0</v>
      </c>
      <c r="D1138" s="30">
        <f t="shared" ref="D1138:H1138" si="38">D208+D394+D766+D952+D580</f>
        <v>0</v>
      </c>
      <c r="E1138" s="30">
        <f t="shared" si="38"/>
        <v>504744.12770833331</v>
      </c>
      <c r="F1138" s="30">
        <f t="shared" si="38"/>
        <v>496189.14249293786</v>
      </c>
      <c r="G1138" s="30">
        <f t="shared" si="38"/>
        <v>487634.1572775424</v>
      </c>
      <c r="H1138" s="30">
        <f t="shared" si="38"/>
        <v>479079.17206214694</v>
      </c>
    </row>
    <row r="1139" spans="2:8">
      <c r="B1139" s="152">
        <f t="shared" si="37"/>
        <v>0</v>
      </c>
      <c r="D1139" s="30">
        <f t="shared" ref="D1139:H1139" si="39">D209+D395+D767+D953+D581</f>
        <v>0</v>
      </c>
      <c r="E1139" s="30">
        <f t="shared" si="39"/>
        <v>0</v>
      </c>
      <c r="F1139" s="30">
        <f t="shared" si="39"/>
        <v>104554.8875</v>
      </c>
      <c r="G1139" s="30">
        <f t="shared" si="39"/>
        <v>102782.77076271187</v>
      </c>
      <c r="H1139" s="30">
        <f t="shared" si="39"/>
        <v>101010.65402542373</v>
      </c>
    </row>
    <row r="1140" spans="2:8">
      <c r="B1140" s="152">
        <f t="shared" si="37"/>
        <v>0</v>
      </c>
      <c r="D1140" s="30">
        <f t="shared" ref="D1140:H1140" si="40">D210+D396+D768+D954+D582</f>
        <v>95038.35533333334</v>
      </c>
      <c r="E1140" s="30">
        <f t="shared" si="40"/>
        <v>88249.901380952389</v>
      </c>
      <c r="F1140" s="30">
        <f t="shared" si="40"/>
        <v>81461.447428571439</v>
      </c>
      <c r="G1140" s="30">
        <f t="shared" si="40"/>
        <v>74672.993476190488</v>
      </c>
      <c r="H1140" s="30">
        <f t="shared" si="40"/>
        <v>67884.539523809537</v>
      </c>
    </row>
    <row r="1141" spans="2:8">
      <c r="B1141" s="152">
        <f t="shared" si="37"/>
        <v>0</v>
      </c>
      <c r="D1141" s="30">
        <f t="shared" ref="D1141:H1141" si="41">D211+D397+D769+D955+D583</f>
        <v>0</v>
      </c>
      <c r="E1141" s="30">
        <f t="shared" si="41"/>
        <v>4088.1251666666667</v>
      </c>
      <c r="F1141" s="30">
        <f t="shared" si="41"/>
        <v>3796.116226190476</v>
      </c>
      <c r="G1141" s="30">
        <f t="shared" si="41"/>
        <v>3504.1072857142854</v>
      </c>
      <c r="H1141" s="30">
        <f t="shared" si="41"/>
        <v>3212.0983452380951</v>
      </c>
    </row>
    <row r="1142" spans="2:8">
      <c r="B1142" s="152">
        <f t="shared" si="37"/>
        <v>0</v>
      </c>
      <c r="D1142" s="30">
        <f t="shared" ref="D1142:H1142" si="42">D212+D398+D770+D956+D584</f>
        <v>270899.73166666669</v>
      </c>
      <c r="E1142" s="30">
        <f t="shared" si="42"/>
        <v>266308.21079096047</v>
      </c>
      <c r="F1142" s="30">
        <f t="shared" si="42"/>
        <v>261716.68991525425</v>
      </c>
      <c r="G1142" s="30">
        <f t="shared" si="42"/>
        <v>257125.16903954803</v>
      </c>
      <c r="H1142" s="30">
        <f t="shared" si="42"/>
        <v>252533.6481638418</v>
      </c>
    </row>
    <row r="1143" spans="2:8">
      <c r="B1143" s="152">
        <f t="shared" si="37"/>
        <v>0</v>
      </c>
      <c r="D1143" s="30">
        <f t="shared" ref="D1143:H1143" si="43">D213+D399+D771+D957+D585</f>
        <v>0</v>
      </c>
      <c r="E1143" s="30">
        <f t="shared" si="43"/>
        <v>1820852.2142222223</v>
      </c>
      <c r="F1143" s="30">
        <f t="shared" si="43"/>
        <v>1789990.3122862524</v>
      </c>
      <c r="G1143" s="30">
        <f t="shared" si="43"/>
        <v>1759128.4103502824</v>
      </c>
      <c r="H1143" s="30">
        <f t="shared" si="43"/>
        <v>1728266.5084143125</v>
      </c>
    </row>
    <row r="1144" spans="2:8">
      <c r="B1144" s="152">
        <f t="shared" si="37"/>
        <v>0</v>
      </c>
      <c r="D1144" s="30">
        <f t="shared" ref="D1144:H1144" si="44">D214+D400+D772+D958+D586</f>
        <v>0</v>
      </c>
      <c r="E1144" s="30">
        <f t="shared" si="44"/>
        <v>0</v>
      </c>
      <c r="F1144" s="30">
        <f t="shared" si="44"/>
        <v>4313750</v>
      </c>
      <c r="G1144" s="30">
        <f t="shared" si="44"/>
        <v>4240635.5932203392</v>
      </c>
      <c r="H1144" s="30">
        <f t="shared" si="44"/>
        <v>4167521.1864406783</v>
      </c>
    </row>
    <row r="1145" spans="2:8">
      <c r="B1145" s="152">
        <f t="shared" si="37"/>
        <v>0</v>
      </c>
      <c r="D1145" s="30">
        <f t="shared" ref="D1145:H1145" si="45">D215+D401+D773+D959+D587</f>
        <v>0</v>
      </c>
      <c r="E1145" s="30">
        <f t="shared" si="45"/>
        <v>0</v>
      </c>
      <c r="F1145" s="30">
        <f t="shared" si="45"/>
        <v>517498.13825479971</v>
      </c>
      <c r="G1145" s="30">
        <f t="shared" si="45"/>
        <v>508726.98336912511</v>
      </c>
      <c r="H1145" s="30">
        <f t="shared" si="45"/>
        <v>499955.82848345052</v>
      </c>
    </row>
    <row r="1146" spans="2:8">
      <c r="B1146" s="152">
        <f t="shared" si="37"/>
        <v>0</v>
      </c>
      <c r="D1146" s="30">
        <f t="shared" ref="D1146:H1146" si="46">D216+D402+D774+D960+D588</f>
        <v>0</v>
      </c>
      <c r="E1146" s="30">
        <f t="shared" si="46"/>
        <v>0</v>
      </c>
      <c r="F1146" s="30">
        <f t="shared" si="46"/>
        <v>0</v>
      </c>
      <c r="G1146" s="30">
        <f t="shared" si="46"/>
        <v>2654832.3224611497</v>
      </c>
      <c r="H1146" s="30">
        <f t="shared" si="46"/>
        <v>2609835.1644533337</v>
      </c>
    </row>
    <row r="1147" spans="2:8">
      <c r="B1147" s="152">
        <f t="shared" si="37"/>
        <v>0</v>
      </c>
      <c r="D1147" s="30">
        <f t="shared" ref="D1147:H1147" si="47">D217+D403+D775+D961+D589</f>
        <v>0</v>
      </c>
      <c r="E1147" s="30">
        <f t="shared" si="47"/>
        <v>0</v>
      </c>
      <c r="F1147" s="30">
        <f t="shared" si="47"/>
        <v>0</v>
      </c>
      <c r="G1147" s="30">
        <f t="shared" si="47"/>
        <v>0</v>
      </c>
      <c r="H1147" s="30">
        <f t="shared" si="47"/>
        <v>11783752.780291909</v>
      </c>
    </row>
    <row r="1148" spans="2:8">
      <c r="B1148" s="152">
        <f t="shared" si="37"/>
        <v>0</v>
      </c>
      <c r="D1148" s="30">
        <f t="shared" ref="D1148:H1148" si="48">D218+D404+D776+D962+D590</f>
        <v>479362.11393750011</v>
      </c>
      <c r="E1148" s="30">
        <f t="shared" si="48"/>
        <v>473294.23907753173</v>
      </c>
      <c r="F1148" s="30">
        <f t="shared" si="48"/>
        <v>467226.36421756336</v>
      </c>
      <c r="G1148" s="30">
        <f t="shared" si="48"/>
        <v>461158.48935759498</v>
      </c>
      <c r="H1148" s="30">
        <f t="shared" si="48"/>
        <v>455090.61449762661</v>
      </c>
    </row>
    <row r="1149" spans="2:8">
      <c r="B1149" s="152">
        <f t="shared" si="37"/>
        <v>0</v>
      </c>
      <c r="D1149" s="30">
        <f t="shared" ref="D1149:H1149" si="49">D219+D405+D777+D963+D591</f>
        <v>0</v>
      </c>
      <c r="E1149" s="30">
        <f t="shared" si="49"/>
        <v>408502.660875</v>
      </c>
      <c r="F1149" s="30">
        <f t="shared" si="49"/>
        <v>403331.74111708859</v>
      </c>
      <c r="G1149" s="30">
        <f t="shared" si="49"/>
        <v>398160.82135917718</v>
      </c>
      <c r="H1149" s="30">
        <f t="shared" si="49"/>
        <v>392989.90160126577</v>
      </c>
    </row>
    <row r="1150" spans="2:8">
      <c r="B1150" s="152">
        <f t="shared" si="37"/>
        <v>0</v>
      </c>
      <c r="D1150" s="30">
        <f t="shared" ref="D1150:H1150" si="50">D220+D406+D778+D964+D592</f>
        <v>0</v>
      </c>
      <c r="E1150" s="30">
        <f t="shared" si="50"/>
        <v>0</v>
      </c>
      <c r="F1150" s="30">
        <f t="shared" si="50"/>
        <v>2952127.1625000001</v>
      </c>
      <c r="G1150" s="30">
        <f t="shared" si="50"/>
        <v>2914758.4642405063</v>
      </c>
      <c r="H1150" s="30">
        <f t="shared" si="50"/>
        <v>2877389.7659810125</v>
      </c>
    </row>
    <row r="1151" spans="2:8">
      <c r="B1151" s="152">
        <f t="shared" si="37"/>
        <v>0</v>
      </c>
      <c r="D1151" s="30">
        <f t="shared" ref="D1151:H1151" si="51">D221+D407+D779+D965+D593</f>
        <v>0</v>
      </c>
      <c r="E1151" s="30">
        <f t="shared" si="51"/>
        <v>0</v>
      </c>
      <c r="F1151" s="30">
        <f t="shared" si="51"/>
        <v>0</v>
      </c>
      <c r="G1151" s="30">
        <f t="shared" si="51"/>
        <v>3035176.8374999999</v>
      </c>
      <c r="H1151" s="30">
        <f t="shared" si="51"/>
        <v>2996756.8775316454</v>
      </c>
    </row>
    <row r="1152" spans="2:8">
      <c r="B1152" s="152">
        <f t="shared" si="37"/>
        <v>0</v>
      </c>
      <c r="D1152" s="30">
        <f t="shared" ref="D1152:H1152" si="52">D222+D408+D780+D966+D594</f>
        <v>0</v>
      </c>
      <c r="E1152" s="30">
        <f t="shared" si="52"/>
        <v>0</v>
      </c>
      <c r="F1152" s="30">
        <f t="shared" si="52"/>
        <v>0</v>
      </c>
      <c r="G1152" s="30">
        <f t="shared" si="52"/>
        <v>0</v>
      </c>
      <c r="H1152" s="30">
        <f t="shared" si="52"/>
        <v>3123623.5687500001</v>
      </c>
    </row>
    <row r="1153" spans="2:8">
      <c r="B1153" s="152">
        <f t="shared" si="37"/>
        <v>0</v>
      </c>
      <c r="D1153" s="30">
        <f t="shared" ref="D1153:H1153" si="53">D223+D409+D781+D967+D595</f>
        <v>2480861.2925</v>
      </c>
      <c r="E1153" s="30">
        <f t="shared" si="53"/>
        <v>2417249.4644871796</v>
      </c>
      <c r="F1153" s="30">
        <f t="shared" si="53"/>
        <v>2353637.6364743593</v>
      </c>
      <c r="G1153" s="30">
        <f t="shared" si="53"/>
        <v>2290025.808461539</v>
      </c>
      <c r="H1153" s="30">
        <f t="shared" si="53"/>
        <v>2226413.9804487186</v>
      </c>
    </row>
    <row r="1154" spans="2:8">
      <c r="B1154" s="152">
        <f t="shared" si="37"/>
        <v>0</v>
      </c>
      <c r="D1154" s="30">
        <f t="shared" ref="D1154:H1154" si="54">D224+D410+D782+D968+D596</f>
        <v>0</v>
      </c>
      <c r="E1154" s="30">
        <f t="shared" si="54"/>
        <v>5249736.8251250004</v>
      </c>
      <c r="F1154" s="30">
        <f t="shared" si="54"/>
        <v>5115128.188583334</v>
      </c>
      <c r="G1154" s="30">
        <f t="shared" si="54"/>
        <v>4980519.5520416675</v>
      </c>
      <c r="H1154" s="30">
        <f t="shared" si="54"/>
        <v>4845910.9155000011</v>
      </c>
    </row>
    <row r="1155" spans="2:8">
      <c r="B1155" s="152">
        <f t="shared" si="37"/>
        <v>0</v>
      </c>
      <c r="D1155" s="30">
        <f t="shared" ref="D1155:H1155" si="55">D225+D411+D783+D969+D597</f>
        <v>0</v>
      </c>
      <c r="E1155" s="30">
        <f t="shared" si="55"/>
        <v>0</v>
      </c>
      <c r="F1155" s="30">
        <f t="shared" si="55"/>
        <v>1351960.3873749997</v>
      </c>
      <c r="G1155" s="30">
        <f t="shared" si="55"/>
        <v>1317294.7364166663</v>
      </c>
      <c r="H1155" s="30">
        <f t="shared" si="55"/>
        <v>1282629.0854583329</v>
      </c>
    </row>
    <row r="1156" spans="2:8">
      <c r="B1156" s="152">
        <f t="shared" si="37"/>
        <v>0</v>
      </c>
      <c r="D1156" s="30">
        <f t="shared" ref="D1156:H1156" si="56">D226+D412+D784+D970+D598</f>
        <v>0</v>
      </c>
      <c r="E1156" s="30">
        <f t="shared" si="56"/>
        <v>0</v>
      </c>
      <c r="F1156" s="30">
        <f t="shared" si="56"/>
        <v>1033256.7869692472</v>
      </c>
      <c r="G1156" s="30">
        <f t="shared" si="56"/>
        <v>1012169.9137657931</v>
      </c>
      <c r="H1156" s="30">
        <f t="shared" si="56"/>
        <v>991083.04056233901</v>
      </c>
    </row>
    <row r="1157" spans="2:8">
      <c r="B1157" s="152">
        <f t="shared" si="37"/>
        <v>0</v>
      </c>
      <c r="D1157" s="30">
        <f t="shared" ref="D1157:H1157" si="57">D227+D413+D785+D971+D599</f>
        <v>0</v>
      </c>
      <c r="E1157" s="30">
        <f t="shared" si="57"/>
        <v>0</v>
      </c>
      <c r="F1157" s="30">
        <f t="shared" si="57"/>
        <v>0</v>
      </c>
      <c r="G1157" s="30">
        <f t="shared" si="57"/>
        <v>3180444.503277828</v>
      </c>
      <c r="H1157" s="30">
        <f t="shared" si="57"/>
        <v>3115537.4725986887</v>
      </c>
    </row>
    <row r="1158" spans="2:8">
      <c r="B1158" s="152">
        <f t="shared" si="37"/>
        <v>0</v>
      </c>
      <c r="D1158" s="30">
        <f t="shared" ref="D1158:H1158" si="58">D228+D414+D786+D972+D600</f>
        <v>0</v>
      </c>
      <c r="E1158" s="30">
        <f t="shared" si="58"/>
        <v>0</v>
      </c>
      <c r="F1158" s="30">
        <f t="shared" si="58"/>
        <v>0</v>
      </c>
      <c r="G1158" s="30">
        <f t="shared" si="58"/>
        <v>0</v>
      </c>
      <c r="H1158" s="30">
        <f t="shared" si="58"/>
        <v>4277799.3286437858</v>
      </c>
    </row>
    <row r="1159" spans="2:8">
      <c r="B1159" s="152">
        <f t="shared" si="37"/>
        <v>0</v>
      </c>
      <c r="D1159" s="30">
        <f t="shared" ref="D1159:H1159" si="59">D229+D415+D787+D973+D601</f>
        <v>0</v>
      </c>
      <c r="E1159" s="30">
        <f t="shared" si="59"/>
        <v>279169.31666666665</v>
      </c>
      <c r="F1159" s="30">
        <f t="shared" si="59"/>
        <v>269542.7885057471</v>
      </c>
      <c r="G1159" s="30">
        <f t="shared" si="59"/>
        <v>259916.26034482755</v>
      </c>
      <c r="H1159" s="30">
        <f t="shared" si="59"/>
        <v>250289.732183908</v>
      </c>
    </row>
    <row r="1160" spans="2:8">
      <c r="B1160" s="152">
        <f t="shared" si="37"/>
        <v>0</v>
      </c>
      <c r="D1160" s="30">
        <f t="shared" ref="D1160:H1160" si="60">D230+D416+D788+D974+D602</f>
        <v>0</v>
      </c>
      <c r="E1160" s="30">
        <f t="shared" si="60"/>
        <v>0</v>
      </c>
      <c r="F1160" s="30">
        <f t="shared" si="60"/>
        <v>452198.61666666664</v>
      </c>
      <c r="G1160" s="30">
        <f t="shared" si="60"/>
        <v>436605.56091954018</v>
      </c>
      <c r="H1160" s="30">
        <f t="shared" si="60"/>
        <v>421012.50517241372</v>
      </c>
    </row>
    <row r="1161" spans="2:8">
      <c r="B1161" s="152">
        <f t="shared" si="37"/>
        <v>0</v>
      </c>
      <c r="D1161" s="30">
        <f t="shared" ref="D1161:H1161" si="61">D231+D417+D789+D975+D603</f>
        <v>0</v>
      </c>
      <c r="E1161" s="30">
        <f t="shared" si="61"/>
        <v>0</v>
      </c>
      <c r="F1161" s="30">
        <f t="shared" si="61"/>
        <v>0</v>
      </c>
      <c r="G1161" s="30">
        <f t="shared" si="61"/>
        <v>3276393.9</v>
      </c>
      <c r="H1161" s="30">
        <f t="shared" si="61"/>
        <v>3163414.8</v>
      </c>
    </row>
    <row r="1162" spans="2:8">
      <c r="B1162" s="152">
        <f t="shared" si="37"/>
        <v>0</v>
      </c>
      <c r="D1162" s="30">
        <f t="shared" ref="D1162:H1162" si="62">D232+D418+D790+D976+D604</f>
        <v>0</v>
      </c>
      <c r="E1162" s="30">
        <f t="shared" si="62"/>
        <v>0</v>
      </c>
      <c r="F1162" s="30">
        <f t="shared" si="62"/>
        <v>0</v>
      </c>
      <c r="G1162" s="30">
        <f t="shared" si="62"/>
        <v>0</v>
      </c>
      <c r="H1162" s="30">
        <f t="shared" si="62"/>
        <v>3371870.65</v>
      </c>
    </row>
    <row r="1163" spans="2:8">
      <c r="B1163" s="152">
        <f t="shared" si="37"/>
        <v>0</v>
      </c>
      <c r="D1163" s="30">
        <f t="shared" ref="D1163:H1163" si="63">D233+D419+D791+D977+D605</f>
        <v>0</v>
      </c>
      <c r="E1163" s="30">
        <f t="shared" si="63"/>
        <v>0</v>
      </c>
      <c r="F1163" s="30">
        <f t="shared" si="63"/>
        <v>3127329.2625000002</v>
      </c>
      <c r="G1163" s="30">
        <f t="shared" si="63"/>
        <v>3087742.8161392407</v>
      </c>
      <c r="H1163" s="30">
        <f t="shared" si="63"/>
        <v>3048156.3697784813</v>
      </c>
    </row>
    <row r="1164" spans="2:8">
      <c r="B1164" s="152">
        <f t="shared" si="37"/>
        <v>0</v>
      </c>
      <c r="D1164" s="30">
        <f t="shared" ref="D1164:H1164" si="64">D234+D420+D792+D978+D606</f>
        <v>0</v>
      </c>
      <c r="E1164" s="30">
        <f t="shared" si="64"/>
        <v>0</v>
      </c>
      <c r="F1164" s="30">
        <f t="shared" si="64"/>
        <v>0</v>
      </c>
      <c r="G1164" s="30">
        <f t="shared" si="64"/>
        <v>2733995.0625</v>
      </c>
      <c r="H1164" s="30">
        <f t="shared" si="64"/>
        <v>2699387.5300632911</v>
      </c>
    </row>
    <row r="1165" spans="2:8">
      <c r="B1165" s="152">
        <f t="shared" si="37"/>
        <v>0</v>
      </c>
      <c r="D1165" s="30">
        <f t="shared" ref="D1165:H1165" si="65">D235+D421+D793+D979+D607</f>
        <v>0</v>
      </c>
      <c r="E1165" s="30">
        <f t="shared" si="65"/>
        <v>0</v>
      </c>
      <c r="F1165" s="30">
        <f t="shared" si="65"/>
        <v>0</v>
      </c>
      <c r="G1165" s="30">
        <f t="shared" si="65"/>
        <v>0</v>
      </c>
      <c r="H1165" s="30">
        <f t="shared" si="65"/>
        <v>1292944.2749999999</v>
      </c>
    </row>
    <row r="1166" spans="2:8">
      <c r="B1166" s="152">
        <f t="shared" si="37"/>
        <v>0</v>
      </c>
      <c r="D1166" s="30">
        <f t="shared" ref="D1166:H1166" si="66">D236+D422+D794+D980+D608</f>
        <v>0</v>
      </c>
      <c r="E1166" s="30">
        <f t="shared" si="66"/>
        <v>197500</v>
      </c>
      <c r="F1166" s="30">
        <f t="shared" si="66"/>
        <v>192435.89743589744</v>
      </c>
      <c r="G1166" s="30">
        <f t="shared" si="66"/>
        <v>187371.79487179487</v>
      </c>
      <c r="H1166" s="30">
        <f t="shared" si="66"/>
        <v>182307.69230769231</v>
      </c>
    </row>
    <row r="1167" spans="2:8">
      <c r="B1167" s="152">
        <f t="shared" si="37"/>
        <v>0</v>
      </c>
      <c r="D1167" s="30">
        <f t="shared" ref="D1167:H1167" si="67">D237+D423+D795+D981+D609</f>
        <v>0</v>
      </c>
      <c r="E1167" s="30">
        <f t="shared" si="67"/>
        <v>0</v>
      </c>
      <c r="F1167" s="30">
        <f t="shared" si="67"/>
        <v>602561.63749999995</v>
      </c>
      <c r="G1167" s="30">
        <f t="shared" si="67"/>
        <v>587111.33910256403</v>
      </c>
      <c r="H1167" s="30">
        <f t="shared" si="67"/>
        <v>571661.04070512811</v>
      </c>
    </row>
    <row r="1168" spans="2:8">
      <c r="B1168" s="152">
        <f t="shared" si="37"/>
        <v>0</v>
      </c>
      <c r="D1168" s="30">
        <f t="shared" ref="D1168:H1168" si="68">D238+D424+D796+D982+D610</f>
        <v>0</v>
      </c>
      <c r="E1168" s="30">
        <f t="shared" si="68"/>
        <v>0</v>
      </c>
      <c r="F1168" s="30">
        <f t="shared" si="68"/>
        <v>0</v>
      </c>
      <c r="G1168" s="30">
        <f t="shared" si="68"/>
        <v>2355290.2000000002</v>
      </c>
      <c r="H1168" s="30">
        <f t="shared" si="68"/>
        <v>2294898.1435897439</v>
      </c>
    </row>
    <row r="1169" spans="2:8">
      <c r="B1169" s="152">
        <f t="shared" si="37"/>
        <v>0</v>
      </c>
      <c r="D1169" s="30">
        <f t="shared" ref="D1169:H1169" si="69">D239+D425+D797+D983+D611</f>
        <v>0</v>
      </c>
      <c r="E1169" s="30">
        <f t="shared" si="69"/>
        <v>0</v>
      </c>
      <c r="F1169" s="30">
        <f t="shared" si="69"/>
        <v>0</v>
      </c>
      <c r="G1169" s="30">
        <f t="shared" si="69"/>
        <v>0</v>
      </c>
      <c r="H1169" s="30">
        <f t="shared" si="69"/>
        <v>3386158.2374999998</v>
      </c>
    </row>
    <row r="1170" spans="2:8">
      <c r="B1170" s="152">
        <f t="shared" si="37"/>
        <v>0</v>
      </c>
      <c r="D1170" s="30">
        <f t="shared" ref="D1170:H1170" si="70">D240+D426+D798+D984+D612</f>
        <v>5334582.4587000003</v>
      </c>
      <c r="E1170" s="30">
        <f t="shared" si="70"/>
        <v>5225713.4289306123</v>
      </c>
      <c r="F1170" s="30">
        <f t="shared" si="70"/>
        <v>5116844.3991612243</v>
      </c>
      <c r="G1170" s="30">
        <f t="shared" si="70"/>
        <v>5007975.3693918362</v>
      </c>
      <c r="H1170" s="30">
        <f t="shared" si="70"/>
        <v>4899106.3396224482</v>
      </c>
    </row>
    <row r="1171" spans="2:8">
      <c r="B1171" s="152">
        <f t="shared" si="37"/>
        <v>0</v>
      </c>
      <c r="D1171" s="30">
        <f t="shared" ref="D1171:H1171" si="71">D241+D427+D799+D985+D613</f>
        <v>0</v>
      </c>
      <c r="E1171" s="30">
        <f t="shared" si="71"/>
        <v>840163.59900000005</v>
      </c>
      <c r="F1171" s="30">
        <f t="shared" si="71"/>
        <v>823017.40310204087</v>
      </c>
      <c r="G1171" s="30">
        <f t="shared" si="71"/>
        <v>805871.2072040817</v>
      </c>
      <c r="H1171" s="30">
        <f t="shared" si="71"/>
        <v>788725.01130612253</v>
      </c>
    </row>
    <row r="1172" spans="2:8">
      <c r="B1172" s="152">
        <f t="shared" si="37"/>
        <v>0</v>
      </c>
      <c r="D1172" s="30">
        <f t="shared" ref="D1172:H1172" si="72">D242+D428+D800+D986+D614</f>
        <v>5986888.7516250005</v>
      </c>
      <c r="E1172" s="30">
        <f t="shared" si="72"/>
        <v>5911105.349705697</v>
      </c>
      <c r="F1172" s="30">
        <f t="shared" si="72"/>
        <v>5835321.9477863936</v>
      </c>
      <c r="G1172" s="30">
        <f t="shared" si="72"/>
        <v>5759538.5458670901</v>
      </c>
      <c r="H1172" s="30">
        <f t="shared" si="72"/>
        <v>5683755.1439477867</v>
      </c>
    </row>
    <row r="1173" spans="2:8">
      <c r="B1173" s="152">
        <f t="shared" si="37"/>
        <v>0</v>
      </c>
      <c r="D1173" s="30">
        <f t="shared" ref="D1173:H1173" si="73">D243+D429+D801+D987+D615</f>
        <v>0</v>
      </c>
      <c r="E1173" s="30">
        <f t="shared" si="73"/>
        <v>174419.66099999996</v>
      </c>
      <c r="F1173" s="30">
        <f t="shared" si="73"/>
        <v>172211.81718987337</v>
      </c>
      <c r="G1173" s="30">
        <f t="shared" si="73"/>
        <v>170003.97337974678</v>
      </c>
      <c r="H1173" s="30">
        <f t="shared" si="73"/>
        <v>167796.12956962019</v>
      </c>
    </row>
    <row r="1174" spans="2:8">
      <c r="B1174" s="152">
        <f t="shared" si="37"/>
        <v>0</v>
      </c>
      <c r="D1174" s="30">
        <f t="shared" ref="D1174:H1174" si="74">D244+D430+D802+D988+D616</f>
        <v>0</v>
      </c>
      <c r="E1174" s="30">
        <f t="shared" si="74"/>
        <v>0</v>
      </c>
      <c r="F1174" s="30">
        <f t="shared" si="74"/>
        <v>0</v>
      </c>
      <c r="G1174" s="30">
        <f t="shared" si="74"/>
        <v>1101386.6499999999</v>
      </c>
      <c r="H1174" s="30">
        <f t="shared" si="74"/>
        <v>1082719.0796610168</v>
      </c>
    </row>
    <row r="1175" spans="2:8">
      <c r="B1175" s="152">
        <f t="shared" si="37"/>
        <v>0</v>
      </c>
      <c r="D1175" s="30">
        <f t="shared" ref="D1175:H1175" si="75">D245+D431+D803+D989+D617</f>
        <v>0</v>
      </c>
      <c r="E1175" s="30">
        <f t="shared" si="75"/>
        <v>0</v>
      </c>
      <c r="F1175" s="30">
        <f t="shared" si="75"/>
        <v>0</v>
      </c>
      <c r="G1175" s="30">
        <f t="shared" si="75"/>
        <v>0</v>
      </c>
      <c r="H1175" s="30">
        <f t="shared" si="75"/>
        <v>4576433.5750000002</v>
      </c>
    </row>
    <row r="1176" spans="2:8">
      <c r="B1176" s="152">
        <f t="shared" si="37"/>
        <v>0</v>
      </c>
      <c r="D1176" s="30">
        <f t="shared" ref="D1176:H1176" si="76">D246+D432+D804+D990+D618</f>
        <v>0</v>
      </c>
      <c r="E1176" s="30">
        <f t="shared" si="76"/>
        <v>0</v>
      </c>
      <c r="F1176" s="30">
        <f t="shared" si="76"/>
        <v>532081.94025796989</v>
      </c>
      <c r="G1176" s="30">
        <f t="shared" si="76"/>
        <v>525346.72582432476</v>
      </c>
      <c r="H1176" s="30">
        <f t="shared" si="76"/>
        <v>518611.51139067957</v>
      </c>
    </row>
    <row r="1177" spans="2:8">
      <c r="B1177" s="152">
        <f t="shared" si="37"/>
        <v>0</v>
      </c>
      <c r="D1177" s="30">
        <f t="shared" ref="D1177:H1177" si="77">D247+D433+D805+D991+D619</f>
        <v>0</v>
      </c>
      <c r="E1177" s="30">
        <f t="shared" si="77"/>
        <v>0</v>
      </c>
      <c r="F1177" s="30">
        <f t="shared" si="77"/>
        <v>0</v>
      </c>
      <c r="G1177" s="30">
        <f t="shared" si="77"/>
        <v>2333408.5261707455</v>
      </c>
      <c r="H1177" s="30">
        <f t="shared" si="77"/>
        <v>2303871.7093837741</v>
      </c>
    </row>
    <row r="1178" spans="2:8">
      <c r="B1178" s="152">
        <f t="shared" si="37"/>
        <v>0</v>
      </c>
      <c r="D1178" s="30">
        <f t="shared" ref="D1178:H1178" si="78">D248+D434+D806+D992+D620</f>
        <v>0</v>
      </c>
      <c r="E1178" s="30">
        <f t="shared" si="78"/>
        <v>0</v>
      </c>
      <c r="F1178" s="30">
        <f t="shared" si="78"/>
        <v>0</v>
      </c>
      <c r="G1178" s="30">
        <f t="shared" si="78"/>
        <v>0</v>
      </c>
      <c r="H1178" s="30">
        <f t="shared" si="78"/>
        <v>2399052.1550580841</v>
      </c>
    </row>
    <row r="1179" spans="2:8">
      <c r="B1179" s="152">
        <f t="shared" si="37"/>
        <v>0</v>
      </c>
      <c r="D1179" s="30">
        <f t="shared" ref="D1179:H1179" si="79">D249+D435+D807+D993+D621</f>
        <v>555893.48362500011</v>
      </c>
      <c r="E1179" s="30">
        <f t="shared" si="79"/>
        <v>541639.80455769238</v>
      </c>
      <c r="F1179" s="30">
        <f t="shared" si="79"/>
        <v>527386.12549038464</v>
      </c>
      <c r="G1179" s="30">
        <f t="shared" si="79"/>
        <v>513132.44642307697</v>
      </c>
      <c r="H1179" s="30">
        <f t="shared" si="79"/>
        <v>498878.76735576929</v>
      </c>
    </row>
    <row r="1180" spans="2:8">
      <c r="B1180" s="152">
        <f t="shared" si="37"/>
        <v>0</v>
      </c>
      <c r="D1180" s="30">
        <f t="shared" ref="D1180:H1180" si="80">D250+D436+D808+D994+D622</f>
        <v>0</v>
      </c>
      <c r="E1180" s="30">
        <f t="shared" si="80"/>
        <v>2533279.5107499999</v>
      </c>
      <c r="F1180" s="30">
        <f t="shared" si="80"/>
        <v>2468323.6258589742</v>
      </c>
      <c r="G1180" s="30">
        <f t="shared" si="80"/>
        <v>2403367.7409679485</v>
      </c>
      <c r="H1180" s="30">
        <f t="shared" si="80"/>
        <v>2338411.8560769227</v>
      </c>
    </row>
    <row r="1181" spans="2:8">
      <c r="B1181" s="152">
        <f t="shared" si="37"/>
        <v>0</v>
      </c>
      <c r="D1181" s="30">
        <f t="shared" ref="D1181:H1181" si="81">D251+D437+D809+D995+D623</f>
        <v>0</v>
      </c>
      <c r="E1181" s="30">
        <f t="shared" si="81"/>
        <v>0</v>
      </c>
      <c r="F1181" s="30">
        <f t="shared" si="81"/>
        <v>1985368.75</v>
      </c>
      <c r="G1181" s="30">
        <f t="shared" si="81"/>
        <v>1934461.858974359</v>
      </c>
      <c r="H1181" s="30">
        <f t="shared" si="81"/>
        <v>1883554.967948718</v>
      </c>
    </row>
    <row r="1182" spans="2:8">
      <c r="B1182" s="152">
        <f t="shared" si="37"/>
        <v>0</v>
      </c>
      <c r="D1182" s="30">
        <f t="shared" ref="D1182:H1182" si="82">D252+D438+D810+D996+D624</f>
        <v>0</v>
      </c>
      <c r="E1182" s="30">
        <f t="shared" si="82"/>
        <v>197500</v>
      </c>
      <c r="F1182" s="30">
        <f t="shared" si="82"/>
        <v>192435.89743589744</v>
      </c>
      <c r="G1182" s="30">
        <f t="shared" si="82"/>
        <v>187371.79487179487</v>
      </c>
      <c r="H1182" s="30">
        <f t="shared" si="82"/>
        <v>182307.69230769231</v>
      </c>
    </row>
    <row r="1183" spans="2:8">
      <c r="B1183" s="152">
        <f t="shared" si="37"/>
        <v>0</v>
      </c>
      <c r="D1183" s="30">
        <f t="shared" ref="D1183:H1183" si="83">D253+D439+D811+D997+D625</f>
        <v>0</v>
      </c>
      <c r="E1183" s="30">
        <f t="shared" si="83"/>
        <v>0</v>
      </c>
      <c r="F1183" s="30">
        <f t="shared" si="83"/>
        <v>2321198.7374999998</v>
      </c>
      <c r="G1183" s="30">
        <f t="shared" si="83"/>
        <v>2261680.8211538461</v>
      </c>
      <c r="H1183" s="30">
        <f t="shared" si="83"/>
        <v>2202162.9048076924</v>
      </c>
    </row>
    <row r="1184" spans="2:8">
      <c r="B1184" s="152">
        <f t="shared" si="37"/>
        <v>0</v>
      </c>
      <c r="D1184" s="30">
        <f t="shared" ref="D1184:H1184" si="84">D254+D440+D812+D998+D626</f>
        <v>0</v>
      </c>
      <c r="E1184" s="30">
        <f t="shared" si="84"/>
        <v>0</v>
      </c>
      <c r="F1184" s="30">
        <f t="shared" si="84"/>
        <v>0</v>
      </c>
      <c r="G1184" s="30">
        <f t="shared" si="84"/>
        <v>2152961.3250000002</v>
      </c>
      <c r="H1184" s="30">
        <f t="shared" si="84"/>
        <v>2097757.1884615389</v>
      </c>
    </row>
    <row r="1185" spans="2:8">
      <c r="B1185" s="152">
        <f t="shared" si="37"/>
        <v>0</v>
      </c>
      <c r="D1185" s="30">
        <f t="shared" ref="D1185:H1185" si="85">D255+D441+D813+D999+D627</f>
        <v>0</v>
      </c>
      <c r="E1185" s="30">
        <f t="shared" si="85"/>
        <v>197500</v>
      </c>
      <c r="F1185" s="30">
        <f t="shared" si="85"/>
        <v>192435.89743589744</v>
      </c>
      <c r="G1185" s="30">
        <f t="shared" si="85"/>
        <v>187371.79487179487</v>
      </c>
      <c r="H1185" s="30">
        <f t="shared" si="85"/>
        <v>182307.69230769231</v>
      </c>
    </row>
    <row r="1186" spans="2:8">
      <c r="B1186" s="152">
        <f t="shared" si="37"/>
        <v>0</v>
      </c>
      <c r="D1186" s="30">
        <f t="shared" ref="D1186:H1186" si="86">D256+D442+D814+D1000+D628</f>
        <v>0</v>
      </c>
      <c r="E1186" s="30">
        <f t="shared" si="86"/>
        <v>0</v>
      </c>
      <c r="F1186" s="30">
        <f t="shared" si="86"/>
        <v>2442587.1749999998</v>
      </c>
      <c r="G1186" s="30">
        <f t="shared" si="86"/>
        <v>2379956.7346153846</v>
      </c>
      <c r="H1186" s="30">
        <f t="shared" si="86"/>
        <v>2317326.2942307694</v>
      </c>
    </row>
    <row r="1187" spans="2:8">
      <c r="B1187" s="152">
        <f t="shared" si="37"/>
        <v>0</v>
      </c>
      <c r="D1187" s="30">
        <f t="shared" ref="D1187:H1187" si="87">D257+D443+D815+D1001+D629</f>
        <v>0</v>
      </c>
      <c r="E1187" s="30">
        <f t="shared" si="87"/>
        <v>0</v>
      </c>
      <c r="F1187" s="30">
        <f t="shared" si="87"/>
        <v>0</v>
      </c>
      <c r="G1187" s="30">
        <f t="shared" si="87"/>
        <v>1370949.2124999999</v>
      </c>
      <c r="H1187" s="30">
        <f t="shared" si="87"/>
        <v>1335796.6685897436</v>
      </c>
    </row>
    <row r="1188" spans="2:8">
      <c r="B1188" s="152">
        <f t="shared" si="37"/>
        <v>0</v>
      </c>
      <c r="D1188" s="30">
        <f t="shared" ref="D1188:H1188" si="88">D258+D444+D816+D1002+D630</f>
        <v>0</v>
      </c>
      <c r="E1188" s="30">
        <f t="shared" si="88"/>
        <v>0</v>
      </c>
      <c r="F1188" s="30">
        <f t="shared" si="88"/>
        <v>183347.15</v>
      </c>
      <c r="G1188" s="30">
        <f t="shared" si="88"/>
        <v>178645.94102564102</v>
      </c>
      <c r="H1188" s="30">
        <f t="shared" si="88"/>
        <v>173944.73205128204</v>
      </c>
    </row>
    <row r="1189" spans="2:8">
      <c r="B1189" s="152">
        <f t="shared" si="37"/>
        <v>0</v>
      </c>
      <c r="D1189" s="30">
        <f t="shared" ref="D1189:H1189" si="89">D259+D445+D817+D1003+D631</f>
        <v>0</v>
      </c>
      <c r="E1189" s="30">
        <f t="shared" si="89"/>
        <v>0</v>
      </c>
      <c r="F1189" s="30">
        <f t="shared" si="89"/>
        <v>0</v>
      </c>
      <c r="G1189" s="30">
        <f t="shared" si="89"/>
        <v>2083842.25</v>
      </c>
      <c r="H1189" s="30">
        <f t="shared" si="89"/>
        <v>2030410.3974358975</v>
      </c>
    </row>
    <row r="1190" spans="2:8">
      <c r="B1190" s="152">
        <f t="shared" si="37"/>
        <v>0</v>
      </c>
      <c r="D1190" s="30">
        <f t="shared" ref="D1190:H1190" si="90">D260+D446+D818+D1004+D632</f>
        <v>0</v>
      </c>
      <c r="E1190" s="30">
        <f t="shared" si="90"/>
        <v>0</v>
      </c>
      <c r="F1190" s="30">
        <f t="shared" si="90"/>
        <v>0</v>
      </c>
      <c r="G1190" s="30">
        <f t="shared" si="90"/>
        <v>0</v>
      </c>
      <c r="H1190" s="30">
        <f t="shared" si="90"/>
        <v>1467335.1375</v>
      </c>
    </row>
    <row r="1191" spans="2:8">
      <c r="B1191" s="152">
        <f t="shared" si="37"/>
        <v>0</v>
      </c>
      <c r="D1191" s="30">
        <f t="shared" ref="D1191:H1191" si="91">D261+D447+D819+D1005+D633</f>
        <v>998746.81350000005</v>
      </c>
      <c r="E1191" s="30">
        <f t="shared" si="91"/>
        <v>986104.44877215195</v>
      </c>
      <c r="F1191" s="30">
        <f t="shared" si="91"/>
        <v>973462.08404430386</v>
      </c>
      <c r="G1191" s="30">
        <f t="shared" si="91"/>
        <v>960819.71931645577</v>
      </c>
      <c r="H1191" s="30">
        <f t="shared" si="91"/>
        <v>948177.35458860768</v>
      </c>
    </row>
    <row r="1192" spans="2:8">
      <c r="B1192" s="152">
        <f t="shared" si="37"/>
        <v>0</v>
      </c>
      <c r="D1192" s="30">
        <f t="shared" ref="D1192:H1192" si="92">D262+D448+D820+D1006+D634</f>
        <v>0</v>
      </c>
      <c r="E1192" s="30">
        <f t="shared" si="92"/>
        <v>2007931.9670625001</v>
      </c>
      <c r="F1192" s="30">
        <f t="shared" si="92"/>
        <v>1982515.1067199367</v>
      </c>
      <c r="G1192" s="30">
        <f t="shared" si="92"/>
        <v>1957098.2463773733</v>
      </c>
      <c r="H1192" s="30">
        <f t="shared" si="92"/>
        <v>1931681.38603481</v>
      </c>
    </row>
    <row r="1193" spans="2:8">
      <c r="B1193" s="152">
        <f t="shared" si="37"/>
        <v>0</v>
      </c>
      <c r="D1193" s="30">
        <f t="shared" ref="D1193:H1193" si="93">D263+D449+D821+D1007+D635</f>
        <v>0</v>
      </c>
      <c r="E1193" s="30">
        <f t="shared" si="93"/>
        <v>0</v>
      </c>
      <c r="F1193" s="30">
        <f t="shared" si="93"/>
        <v>328715.60625000001</v>
      </c>
      <c r="G1193" s="30">
        <f t="shared" si="93"/>
        <v>324554.64920886076</v>
      </c>
      <c r="H1193" s="30">
        <f t="shared" si="93"/>
        <v>320393.69216772151</v>
      </c>
    </row>
    <row r="1194" spans="2:8">
      <c r="B1194" s="152">
        <f t="shared" si="37"/>
        <v>0</v>
      </c>
      <c r="D1194" s="30">
        <f t="shared" ref="D1194:H1194" si="94">D264+D450+D822+D1008+D636</f>
        <v>2951365.8991666669</v>
      </c>
      <c r="E1194" s="30">
        <f t="shared" si="94"/>
        <v>2849594.6612643679</v>
      </c>
      <c r="F1194" s="30">
        <f t="shared" si="94"/>
        <v>2747823.4233620688</v>
      </c>
      <c r="G1194" s="30">
        <f t="shared" si="94"/>
        <v>2646052.1854597698</v>
      </c>
      <c r="H1194" s="30">
        <f t="shared" si="94"/>
        <v>2544280.9475574708</v>
      </c>
    </row>
    <row r="1195" spans="2:8">
      <c r="B1195" s="152">
        <f t="shared" si="37"/>
        <v>0</v>
      </c>
      <c r="D1195" s="30">
        <f t="shared" ref="D1195:H1195" si="95">D265+D451+D823+D1009+D637</f>
        <v>0</v>
      </c>
      <c r="E1195" s="30">
        <f t="shared" si="95"/>
        <v>79129.767500000016</v>
      </c>
      <c r="F1195" s="30">
        <f t="shared" si="95"/>
        <v>76401.15482758623</v>
      </c>
      <c r="G1195" s="30">
        <f t="shared" si="95"/>
        <v>73672.542155172443</v>
      </c>
      <c r="H1195" s="30">
        <f t="shared" si="95"/>
        <v>70943.929482758642</v>
      </c>
    </row>
    <row r="1196" spans="2:8">
      <c r="B1196" s="152">
        <f t="shared" si="37"/>
        <v>0</v>
      </c>
      <c r="D1196" s="30">
        <f t="shared" ref="D1196:H1196" si="96">D266+D452+D824+D1010+D638</f>
        <v>317615.47289999994</v>
      </c>
      <c r="E1196" s="30">
        <f t="shared" si="96"/>
        <v>311133.5244734693</v>
      </c>
      <c r="F1196" s="30">
        <f t="shared" si="96"/>
        <v>304651.57604693866</v>
      </c>
      <c r="G1196" s="30">
        <f t="shared" si="96"/>
        <v>298169.62762040802</v>
      </c>
      <c r="H1196" s="30">
        <f t="shared" si="96"/>
        <v>291687.67919387738</v>
      </c>
    </row>
    <row r="1197" spans="2:8">
      <c r="B1197" s="152">
        <f t="shared" si="37"/>
        <v>0</v>
      </c>
      <c r="D1197" s="30">
        <f t="shared" ref="D1197:H1197" si="97">D267+D453+D825+D1011+D639</f>
        <v>0</v>
      </c>
      <c r="E1197" s="30">
        <f t="shared" si="97"/>
        <v>1774691.8001999999</v>
      </c>
      <c r="F1197" s="30">
        <f t="shared" si="97"/>
        <v>1738473.6001959182</v>
      </c>
      <c r="G1197" s="30">
        <f t="shared" si="97"/>
        <v>1702255.4001918365</v>
      </c>
      <c r="H1197" s="30">
        <f t="shared" si="97"/>
        <v>1666037.2001877548</v>
      </c>
    </row>
    <row r="1198" spans="2:8">
      <c r="B1198" s="152">
        <f t="shared" si="37"/>
        <v>0</v>
      </c>
      <c r="D1198" s="30">
        <f t="shared" ref="D1198:H1198" si="98">D268+D454+D826+D1012+D640</f>
        <v>0</v>
      </c>
      <c r="E1198" s="30">
        <f t="shared" si="98"/>
        <v>0</v>
      </c>
      <c r="F1198" s="30">
        <f t="shared" si="98"/>
        <v>49500</v>
      </c>
      <c r="G1198" s="30">
        <f t="shared" si="98"/>
        <v>48489.795918367345</v>
      </c>
      <c r="H1198" s="30">
        <f t="shared" si="98"/>
        <v>47479.591836734689</v>
      </c>
    </row>
    <row r="1199" spans="2:8">
      <c r="B1199" s="152">
        <f t="shared" si="37"/>
        <v>0</v>
      </c>
      <c r="D1199" s="30">
        <f t="shared" ref="D1199:H1199" si="99">D269+D455+D827+D1013+D641</f>
        <v>0</v>
      </c>
      <c r="E1199" s="30">
        <f t="shared" si="99"/>
        <v>0</v>
      </c>
      <c r="F1199" s="30">
        <f t="shared" si="99"/>
        <v>0</v>
      </c>
      <c r="G1199" s="30">
        <f t="shared" si="99"/>
        <v>274190.23749999999</v>
      </c>
      <c r="H1199" s="30">
        <f t="shared" si="99"/>
        <v>267159.7185897436</v>
      </c>
    </row>
    <row r="1200" spans="2:8">
      <c r="B1200" s="152">
        <f t="shared" si="37"/>
        <v>0</v>
      </c>
      <c r="D1200" s="30">
        <f t="shared" ref="D1200:H1200" si="100">D270+D456+D828+D1014+D642</f>
        <v>0</v>
      </c>
      <c r="E1200" s="30">
        <f t="shared" si="100"/>
        <v>0</v>
      </c>
      <c r="F1200" s="30">
        <f t="shared" si="100"/>
        <v>0</v>
      </c>
      <c r="G1200" s="30">
        <f t="shared" si="100"/>
        <v>0</v>
      </c>
      <c r="H1200" s="30">
        <f t="shared" si="100"/>
        <v>1834168.675</v>
      </c>
    </row>
    <row r="1201" spans="2:8">
      <c r="B1201" s="152">
        <f t="shared" si="37"/>
        <v>0</v>
      </c>
      <c r="D1201" s="30">
        <f t="shared" ref="D1201:H1201" si="101">D271+D457+D829+D1015+D643</f>
        <v>125982.54316666666</v>
      </c>
      <c r="E1201" s="30">
        <f t="shared" si="101"/>
        <v>123847.24582485875</v>
      </c>
      <c r="F1201" s="30">
        <f t="shared" si="101"/>
        <v>121711.94848305084</v>
      </c>
      <c r="G1201" s="30">
        <f t="shared" si="101"/>
        <v>119576.65114124294</v>
      </c>
      <c r="H1201" s="30">
        <f t="shared" si="101"/>
        <v>117441.35379943503</v>
      </c>
    </row>
    <row r="1202" spans="2:8">
      <c r="B1202" s="152">
        <f t="shared" ref="B1202:B1265" si="102">B1016</f>
        <v>0</v>
      </c>
      <c r="D1202" s="30">
        <f t="shared" ref="D1202:H1202" si="103">D272+D458+D830+D1016+D644</f>
        <v>0</v>
      </c>
      <c r="E1202" s="30">
        <f t="shared" si="103"/>
        <v>486562.85649999999</v>
      </c>
      <c r="F1202" s="30">
        <f t="shared" si="103"/>
        <v>478316.02842372883</v>
      </c>
      <c r="G1202" s="30">
        <f t="shared" si="103"/>
        <v>470069.20034745766</v>
      </c>
      <c r="H1202" s="30">
        <f t="shared" si="103"/>
        <v>461822.3722711865</v>
      </c>
    </row>
    <row r="1203" spans="2:8">
      <c r="B1203" s="152">
        <f t="shared" si="102"/>
        <v>0</v>
      </c>
      <c r="D1203" s="30">
        <f t="shared" ref="D1203:H1203" si="104">D273+D459+D831+D1017+D645</f>
        <v>0</v>
      </c>
      <c r="E1203" s="30">
        <f t="shared" si="104"/>
        <v>0</v>
      </c>
      <c r="F1203" s="30">
        <f t="shared" si="104"/>
        <v>428500.15833333333</v>
      </c>
      <c r="G1203" s="30">
        <f t="shared" si="104"/>
        <v>421237.44378531072</v>
      </c>
      <c r="H1203" s="30">
        <f t="shared" si="104"/>
        <v>413974.72923728812</v>
      </c>
    </row>
    <row r="1204" spans="2:8">
      <c r="B1204" s="152">
        <f t="shared" si="102"/>
        <v>0</v>
      </c>
      <c r="D1204" s="30">
        <f t="shared" ref="D1204:H1204" si="105">D274+D460+D832+D1018+D646</f>
        <v>0</v>
      </c>
      <c r="E1204" s="30">
        <f t="shared" si="105"/>
        <v>0</v>
      </c>
      <c r="F1204" s="30">
        <f t="shared" si="105"/>
        <v>0</v>
      </c>
      <c r="G1204" s="30">
        <f t="shared" si="105"/>
        <v>440554.85833333334</v>
      </c>
      <c r="H1204" s="30">
        <f t="shared" si="105"/>
        <v>433087.82683615817</v>
      </c>
    </row>
    <row r="1205" spans="2:8">
      <c r="B1205" s="152">
        <f t="shared" si="102"/>
        <v>0</v>
      </c>
      <c r="D1205" s="30">
        <f t="shared" ref="D1205:H1205" si="106">D275+D461+D833+D1019+D647</f>
        <v>0</v>
      </c>
      <c r="E1205" s="30">
        <f t="shared" si="106"/>
        <v>0</v>
      </c>
      <c r="F1205" s="30">
        <f t="shared" si="106"/>
        <v>0</v>
      </c>
      <c r="G1205" s="30">
        <f t="shared" si="106"/>
        <v>0</v>
      </c>
      <c r="H1205" s="30">
        <f t="shared" si="106"/>
        <v>453392.97499999998</v>
      </c>
    </row>
    <row r="1206" spans="2:8">
      <c r="B1206" s="152">
        <f t="shared" si="102"/>
        <v>0</v>
      </c>
      <c r="D1206" s="30">
        <f t="shared" ref="D1206:H1206" si="107">D276+D462+D834+D1020+D648</f>
        <v>325392.12862499995</v>
      </c>
      <c r="E1206" s="30">
        <f t="shared" si="107"/>
        <v>321273.24092088605</v>
      </c>
      <c r="F1206" s="30">
        <f t="shared" si="107"/>
        <v>317154.35321677214</v>
      </c>
      <c r="G1206" s="30">
        <f t="shared" si="107"/>
        <v>313035.46551265824</v>
      </c>
      <c r="H1206" s="30">
        <f t="shared" si="107"/>
        <v>308916.57780854433</v>
      </c>
    </row>
    <row r="1207" spans="2:8">
      <c r="B1207" s="152">
        <f t="shared" si="102"/>
        <v>0</v>
      </c>
      <c r="D1207" s="30">
        <f t="shared" ref="D1207:H1207" si="108">D277+D463+D835+D1021+D649</f>
        <v>0</v>
      </c>
      <c r="E1207" s="30">
        <f t="shared" si="108"/>
        <v>1583680.2866249999</v>
      </c>
      <c r="F1207" s="30">
        <f t="shared" si="108"/>
        <v>1563633.7007183544</v>
      </c>
      <c r="G1207" s="30">
        <f t="shared" si="108"/>
        <v>1543587.1148117089</v>
      </c>
      <c r="H1207" s="30">
        <f t="shared" si="108"/>
        <v>1523540.5289050634</v>
      </c>
    </row>
    <row r="1208" spans="2:8">
      <c r="B1208" s="152">
        <f t="shared" si="102"/>
        <v>0</v>
      </c>
      <c r="D1208" s="30">
        <f t="shared" ref="D1208:H1208" si="109">D278+D464+D836+D1022+D650</f>
        <v>0</v>
      </c>
      <c r="E1208" s="30">
        <f t="shared" si="109"/>
        <v>0</v>
      </c>
      <c r="F1208" s="30">
        <f t="shared" si="109"/>
        <v>107124.79166666667</v>
      </c>
      <c r="G1208" s="30">
        <f t="shared" si="109"/>
        <v>105309.11723163842</v>
      </c>
      <c r="H1208" s="30">
        <f t="shared" si="109"/>
        <v>103493.44279661016</v>
      </c>
    </row>
    <row r="1209" spans="2:8">
      <c r="B1209" s="152">
        <f t="shared" si="102"/>
        <v>0</v>
      </c>
      <c r="D1209" s="30">
        <f t="shared" ref="D1209:H1209" si="110">D279+D465+D837+D1023+D651</f>
        <v>0</v>
      </c>
      <c r="E1209" s="30">
        <f t="shared" si="110"/>
        <v>0</v>
      </c>
      <c r="F1209" s="30">
        <f t="shared" si="110"/>
        <v>0</v>
      </c>
      <c r="G1209" s="30">
        <f t="shared" si="110"/>
        <v>1137770.8999999999</v>
      </c>
      <c r="H1209" s="30">
        <f t="shared" si="110"/>
        <v>1118486.6474576271</v>
      </c>
    </row>
    <row r="1210" spans="2:8">
      <c r="B1210" s="152">
        <f t="shared" si="102"/>
        <v>0</v>
      </c>
      <c r="D1210" s="30">
        <f t="shared" ref="D1210:H1210" si="111">D280+D466+D838+D1024+D652</f>
        <v>0</v>
      </c>
      <c r="E1210" s="30">
        <f t="shared" si="111"/>
        <v>0</v>
      </c>
      <c r="F1210" s="30">
        <f t="shared" si="111"/>
        <v>0</v>
      </c>
      <c r="G1210" s="30">
        <f t="shared" si="111"/>
        <v>109675.7</v>
      </c>
      <c r="H1210" s="30">
        <f t="shared" si="111"/>
        <v>106863.50256410256</v>
      </c>
    </row>
    <row r="1211" spans="2:8">
      <c r="B1211" s="152">
        <f t="shared" si="102"/>
        <v>0</v>
      </c>
      <c r="D1211" s="30">
        <f t="shared" ref="D1211:H1211" si="112">D281+D467+D839+D1025+D653</f>
        <v>0</v>
      </c>
      <c r="E1211" s="30">
        <f t="shared" si="112"/>
        <v>0</v>
      </c>
      <c r="F1211" s="30">
        <f t="shared" si="112"/>
        <v>0</v>
      </c>
      <c r="G1211" s="30">
        <f t="shared" si="112"/>
        <v>0</v>
      </c>
      <c r="H1211" s="30">
        <f t="shared" si="112"/>
        <v>1028545.4375</v>
      </c>
    </row>
    <row r="1212" spans="2:8">
      <c r="B1212" s="152">
        <f t="shared" si="102"/>
        <v>0</v>
      </c>
      <c r="D1212" s="30">
        <f t="shared" ref="D1212:H1212" si="113">D282+D468+D840+D1026+D654</f>
        <v>384289.79225000006</v>
      </c>
      <c r="E1212" s="30">
        <f t="shared" si="113"/>
        <v>374436.20783333341</v>
      </c>
      <c r="F1212" s="30">
        <f t="shared" si="113"/>
        <v>364582.62341666676</v>
      </c>
      <c r="G1212" s="30">
        <f t="shared" si="113"/>
        <v>354729.03900000011</v>
      </c>
      <c r="H1212" s="30">
        <f t="shared" si="113"/>
        <v>344875.45458333346</v>
      </c>
    </row>
    <row r="1213" spans="2:8">
      <c r="B1213" s="152">
        <f t="shared" si="102"/>
        <v>0</v>
      </c>
      <c r="D1213" s="30">
        <f t="shared" ref="D1213:H1213" si="114">D283+D469+D841+D1027+D655</f>
        <v>0</v>
      </c>
      <c r="E1213" s="30">
        <f t="shared" si="114"/>
        <v>702673.16300000006</v>
      </c>
      <c r="F1213" s="30">
        <f t="shared" si="114"/>
        <v>684655.90241025644</v>
      </c>
      <c r="G1213" s="30">
        <f t="shared" si="114"/>
        <v>666638.64182051283</v>
      </c>
      <c r="H1213" s="30">
        <f t="shared" si="114"/>
        <v>648621.38123076921</v>
      </c>
    </row>
    <row r="1214" spans="2:8">
      <c r="B1214" s="152">
        <f t="shared" si="102"/>
        <v>0</v>
      </c>
      <c r="D1214" s="30">
        <f t="shared" ref="D1214:H1214" si="115">D284+D470+D842+D1028+D656</f>
        <v>0</v>
      </c>
      <c r="E1214" s="30">
        <f t="shared" si="115"/>
        <v>0</v>
      </c>
      <c r="F1214" s="30">
        <f t="shared" si="115"/>
        <v>0</v>
      </c>
      <c r="G1214" s="30">
        <f t="shared" si="115"/>
        <v>411284.86249999999</v>
      </c>
      <c r="H1214" s="30">
        <f t="shared" si="115"/>
        <v>400739.09679487179</v>
      </c>
    </row>
    <row r="1215" spans="2:8">
      <c r="B1215" s="152">
        <f t="shared" si="102"/>
        <v>0</v>
      </c>
      <c r="D1215" s="30">
        <f t="shared" ref="D1215:H1215" si="116">D285+D471+D843+D1029+D657</f>
        <v>0</v>
      </c>
      <c r="E1215" s="30">
        <f t="shared" si="116"/>
        <v>0</v>
      </c>
      <c r="F1215" s="30">
        <f t="shared" si="116"/>
        <v>0</v>
      </c>
      <c r="G1215" s="30">
        <f t="shared" si="116"/>
        <v>0</v>
      </c>
      <c r="H1215" s="30">
        <f t="shared" si="116"/>
        <v>578468.61250000005</v>
      </c>
    </row>
    <row r="1216" spans="2:8">
      <c r="B1216" s="152">
        <f t="shared" si="102"/>
        <v>0</v>
      </c>
      <c r="D1216" s="30">
        <f t="shared" ref="D1216:H1216" si="117">D286+D472+D844+D1030+D658</f>
        <v>0</v>
      </c>
      <c r="E1216" s="30">
        <f t="shared" si="117"/>
        <v>0</v>
      </c>
      <c r="F1216" s="30">
        <f t="shared" si="117"/>
        <v>0</v>
      </c>
      <c r="G1216" s="30">
        <f t="shared" si="117"/>
        <v>137441.70000000001</v>
      </c>
      <c r="H1216" s="30">
        <f t="shared" si="117"/>
        <v>134636.76734693878</v>
      </c>
    </row>
    <row r="1217" spans="2:8">
      <c r="B1217" s="152">
        <f t="shared" si="102"/>
        <v>0</v>
      </c>
      <c r="D1217" s="30">
        <f t="shared" ref="D1217:H1217" si="118">D287+D473+D845+D1031+D659</f>
        <v>0</v>
      </c>
      <c r="E1217" s="30">
        <f t="shared" si="118"/>
        <v>0</v>
      </c>
      <c r="F1217" s="30">
        <f t="shared" si="118"/>
        <v>0</v>
      </c>
      <c r="G1217" s="30">
        <f t="shared" si="118"/>
        <v>0</v>
      </c>
      <c r="H1217" s="30">
        <f t="shared" si="118"/>
        <v>848682.45</v>
      </c>
    </row>
    <row r="1218" spans="2:8">
      <c r="B1218" s="152">
        <f t="shared" si="102"/>
        <v>0</v>
      </c>
      <c r="D1218" s="30">
        <f t="shared" ref="D1218:H1218" si="119">D288+D474+D846+D1032+D660</f>
        <v>0</v>
      </c>
      <c r="E1218" s="30">
        <f t="shared" si="119"/>
        <v>0</v>
      </c>
      <c r="F1218" s="30">
        <f t="shared" si="119"/>
        <v>0</v>
      </c>
      <c r="G1218" s="30">
        <f t="shared" si="119"/>
        <v>193147.23749999999</v>
      </c>
      <c r="H1218" s="30">
        <f t="shared" si="119"/>
        <v>190702.33575949367</v>
      </c>
    </row>
    <row r="1219" spans="2:8">
      <c r="B1219" s="152">
        <f t="shared" si="102"/>
        <v>0</v>
      </c>
      <c r="D1219" s="30">
        <f t="shared" ref="D1219:H1219" si="120">D289+D475+D847+D1033+D661</f>
        <v>0</v>
      </c>
      <c r="E1219" s="30">
        <f t="shared" si="120"/>
        <v>0</v>
      </c>
      <c r="F1219" s="30">
        <f t="shared" si="120"/>
        <v>0</v>
      </c>
      <c r="G1219" s="30">
        <f t="shared" si="120"/>
        <v>0</v>
      </c>
      <c r="H1219" s="30">
        <f t="shared" si="120"/>
        <v>681517.72499999998</v>
      </c>
    </row>
    <row r="1220" spans="2:8">
      <c r="B1220" s="152">
        <f t="shared" si="102"/>
        <v>0</v>
      </c>
      <c r="D1220" s="30">
        <f t="shared" ref="D1220:H1220" si="121">D290+D476+D848+D1034+D662</f>
        <v>0</v>
      </c>
      <c r="E1220" s="30">
        <f t="shared" si="121"/>
        <v>0</v>
      </c>
      <c r="F1220" s="30">
        <f t="shared" si="121"/>
        <v>266687.21250000002</v>
      </c>
      <c r="G1220" s="30">
        <f t="shared" si="121"/>
        <v>259849.07884615386</v>
      </c>
      <c r="H1220" s="30">
        <f t="shared" si="121"/>
        <v>253010.9451923077</v>
      </c>
    </row>
    <row r="1221" spans="2:8">
      <c r="B1221" s="152">
        <f t="shared" si="102"/>
        <v>0</v>
      </c>
      <c r="D1221" s="30">
        <f t="shared" ref="D1221:H1221" si="122">D291+D477+D849+D1035+D663</f>
        <v>0</v>
      </c>
      <c r="E1221" s="30">
        <f t="shared" si="122"/>
        <v>0</v>
      </c>
      <c r="F1221" s="30">
        <f t="shared" si="122"/>
        <v>0</v>
      </c>
      <c r="G1221" s="30">
        <f t="shared" si="122"/>
        <v>274190.23749999999</v>
      </c>
      <c r="H1221" s="30">
        <f t="shared" si="122"/>
        <v>267159.7185897436</v>
      </c>
    </row>
    <row r="1222" spans="2:8">
      <c r="B1222" s="152">
        <f t="shared" si="102"/>
        <v>0</v>
      </c>
      <c r="D1222" s="30">
        <f t="shared" ref="D1222:H1222" si="123">D292+D478+D850+D1036+D664</f>
        <v>0</v>
      </c>
      <c r="E1222" s="30">
        <f t="shared" si="123"/>
        <v>0</v>
      </c>
      <c r="F1222" s="30">
        <f t="shared" si="123"/>
        <v>0</v>
      </c>
      <c r="G1222" s="30">
        <f t="shared" si="123"/>
        <v>0</v>
      </c>
      <c r="H1222" s="30">
        <f t="shared" si="123"/>
        <v>324507.3125</v>
      </c>
    </row>
    <row r="1223" spans="2:8">
      <c r="B1223" s="152">
        <f t="shared" si="102"/>
        <v>0</v>
      </c>
      <c r="D1223" s="30">
        <f t="shared" ref="D1223:H1223" si="124">D293+D479+D851+D1037+D665</f>
        <v>0</v>
      </c>
      <c r="E1223" s="30">
        <f t="shared" si="124"/>
        <v>0</v>
      </c>
      <c r="F1223" s="30">
        <f t="shared" si="124"/>
        <v>0</v>
      </c>
      <c r="G1223" s="30">
        <f t="shared" si="124"/>
        <v>0</v>
      </c>
      <c r="H1223" s="30">
        <f t="shared" si="124"/>
        <v>705449.26249999995</v>
      </c>
    </row>
    <row r="1224" spans="2:8">
      <c r="B1224" s="152">
        <f t="shared" si="102"/>
        <v>0</v>
      </c>
      <c r="D1224" s="30">
        <f t="shared" ref="D1224:H1224" si="125">D294+D480+D852+D1038+D666</f>
        <v>0</v>
      </c>
      <c r="E1224" s="30">
        <f t="shared" si="125"/>
        <v>0</v>
      </c>
      <c r="F1224" s="30">
        <f t="shared" si="125"/>
        <v>0</v>
      </c>
      <c r="G1224" s="30">
        <f t="shared" si="125"/>
        <v>0</v>
      </c>
      <c r="H1224" s="30">
        <f t="shared" si="125"/>
        <v>708425.84166666667</v>
      </c>
    </row>
    <row r="1225" spans="2:8">
      <c r="B1225" s="152">
        <f t="shared" si="102"/>
        <v>0</v>
      </c>
      <c r="D1225" s="30">
        <f t="shared" ref="D1225:H1225" si="126">D295+D481+D853+D1039+D667</f>
        <v>0</v>
      </c>
      <c r="E1225" s="30">
        <f t="shared" si="126"/>
        <v>0</v>
      </c>
      <c r="F1225" s="30">
        <f t="shared" si="126"/>
        <v>0</v>
      </c>
      <c r="G1225" s="30">
        <f t="shared" si="126"/>
        <v>169195.36414744001</v>
      </c>
      <c r="H1225" s="30">
        <f t="shared" si="126"/>
        <v>164857.02147699281</v>
      </c>
    </row>
    <row r="1226" spans="2:8">
      <c r="B1226" s="152">
        <f t="shared" si="102"/>
        <v>0</v>
      </c>
      <c r="D1226" s="30">
        <f t="shared" ref="D1226:H1226" si="127">D296+D482+D854+D1040+D668</f>
        <v>0</v>
      </c>
      <c r="E1226" s="30">
        <f t="shared" si="127"/>
        <v>0</v>
      </c>
      <c r="F1226" s="30">
        <f t="shared" si="127"/>
        <v>0</v>
      </c>
      <c r="G1226" s="30">
        <f t="shared" si="127"/>
        <v>0</v>
      </c>
      <c r="H1226" s="30">
        <f t="shared" si="127"/>
        <v>533374.60063582554</v>
      </c>
    </row>
    <row r="1227" spans="2:8">
      <c r="B1227" s="152">
        <f t="shared" si="102"/>
        <v>0</v>
      </c>
      <c r="D1227" s="30">
        <f t="shared" ref="D1227:H1227" si="128">D297+D483+D855+D1041+D669</f>
        <v>0</v>
      </c>
      <c r="E1227" s="30">
        <f t="shared" si="128"/>
        <v>0</v>
      </c>
      <c r="F1227" s="30">
        <f t="shared" si="128"/>
        <v>0</v>
      </c>
      <c r="G1227" s="30">
        <f t="shared" si="128"/>
        <v>643334.03333333333</v>
      </c>
      <c r="H1227" s="30">
        <f t="shared" si="128"/>
        <v>621150.10114942526</v>
      </c>
    </row>
    <row r="1228" spans="2:8">
      <c r="B1228" s="152">
        <f t="shared" si="102"/>
        <v>0</v>
      </c>
      <c r="D1228" s="30">
        <f t="shared" ref="D1228:H1228" si="129">D298+D484+D856+D1042+D670</f>
        <v>637908.7621666668</v>
      </c>
      <c r="E1228" s="30">
        <f t="shared" si="129"/>
        <v>627096.74924858764</v>
      </c>
      <c r="F1228" s="30">
        <f t="shared" si="129"/>
        <v>616284.73633050849</v>
      </c>
      <c r="G1228" s="30">
        <f t="shared" si="129"/>
        <v>605472.72341242945</v>
      </c>
      <c r="H1228" s="30">
        <f t="shared" si="129"/>
        <v>594660.71049435041</v>
      </c>
    </row>
    <row r="1229" spans="2:8">
      <c r="B1229" s="152">
        <f t="shared" si="102"/>
        <v>0</v>
      </c>
      <c r="D1229" s="30">
        <f t="shared" ref="D1229:H1229" si="130">D299+D485+D857+D1043+D671</f>
        <v>0</v>
      </c>
      <c r="E1229" s="30">
        <f t="shared" si="130"/>
        <v>0</v>
      </c>
      <c r="F1229" s="30">
        <f t="shared" si="130"/>
        <v>606714.07499999995</v>
      </c>
      <c r="G1229" s="30">
        <f t="shared" si="130"/>
        <v>591157.30384615378</v>
      </c>
      <c r="H1229" s="30">
        <f t="shared" si="130"/>
        <v>575600.53269230761</v>
      </c>
    </row>
    <row r="1230" spans="2:8">
      <c r="B1230" s="152">
        <f t="shared" si="102"/>
        <v>0</v>
      </c>
      <c r="D1230" s="30">
        <f t="shared" ref="D1230:H1230" si="131">D300+D486+D858+D1044+D672</f>
        <v>0</v>
      </c>
      <c r="E1230" s="30">
        <f t="shared" si="131"/>
        <v>0</v>
      </c>
      <c r="F1230" s="30">
        <f t="shared" si="131"/>
        <v>0</v>
      </c>
      <c r="G1230" s="30">
        <f t="shared" si="131"/>
        <v>109675.7</v>
      </c>
      <c r="H1230" s="30">
        <f t="shared" si="131"/>
        <v>106863.50256410256</v>
      </c>
    </row>
    <row r="1231" spans="2:8">
      <c r="B1231" s="152">
        <f t="shared" si="102"/>
        <v>0</v>
      </c>
      <c r="D1231" s="30">
        <f t="shared" ref="D1231:H1231" si="132">D301+D487+D859+D1045+D673</f>
        <v>0</v>
      </c>
      <c r="E1231" s="30">
        <f t="shared" si="132"/>
        <v>0</v>
      </c>
      <c r="F1231" s="30">
        <f t="shared" si="132"/>
        <v>0</v>
      </c>
      <c r="G1231" s="30">
        <f t="shared" si="132"/>
        <v>0</v>
      </c>
      <c r="H1231" s="30">
        <f t="shared" si="132"/>
        <v>451487.96250000002</v>
      </c>
    </row>
    <row r="1232" spans="2:8">
      <c r="B1232" s="152">
        <f t="shared" si="102"/>
        <v>0</v>
      </c>
      <c r="D1232" s="30">
        <f t="shared" ref="D1232:H1232" si="133">D302+D488+D860+D1046+D674</f>
        <v>34935.143000000011</v>
      </c>
      <c r="E1232" s="30">
        <f t="shared" si="133"/>
        <v>34039.370102564113</v>
      </c>
      <c r="F1232" s="30">
        <f t="shared" si="133"/>
        <v>33143.597205128215</v>
      </c>
      <c r="G1232" s="30">
        <f t="shared" si="133"/>
        <v>32247.824307692317</v>
      </c>
      <c r="H1232" s="30">
        <f t="shared" si="133"/>
        <v>31352.051410256419</v>
      </c>
    </row>
    <row r="1233" spans="2:8">
      <c r="B1233" s="152">
        <f t="shared" si="102"/>
        <v>0</v>
      </c>
      <c r="D1233" s="30">
        <f t="shared" ref="D1233:H1233" si="134">D303+D489+D861+D1047+D675</f>
        <v>0</v>
      </c>
      <c r="E1233" s="30">
        <f t="shared" si="134"/>
        <v>475360.28125</v>
      </c>
      <c r="F1233" s="30">
        <f t="shared" si="134"/>
        <v>463171.55608974356</v>
      </c>
      <c r="G1233" s="30">
        <f t="shared" si="134"/>
        <v>450982.83092948713</v>
      </c>
      <c r="H1233" s="30">
        <f t="shared" si="134"/>
        <v>438794.10576923069</v>
      </c>
    </row>
    <row r="1234" spans="2:8">
      <c r="B1234" s="152">
        <f t="shared" si="102"/>
        <v>0</v>
      </c>
      <c r="D1234" s="30">
        <f t="shared" ref="D1234:H1234" si="135">D304+D490+D862+D1048+D676</f>
        <v>0</v>
      </c>
      <c r="E1234" s="30">
        <f t="shared" si="135"/>
        <v>0</v>
      </c>
      <c r="F1234" s="30">
        <f t="shared" si="135"/>
        <v>0</v>
      </c>
      <c r="G1234" s="30">
        <f t="shared" si="135"/>
        <v>0</v>
      </c>
      <c r="H1234" s="30">
        <f t="shared" si="135"/>
        <v>467124.11249999999</v>
      </c>
    </row>
    <row r="1235" spans="2:8">
      <c r="B1235" s="152">
        <f t="shared" si="102"/>
        <v>0</v>
      </c>
      <c r="D1235" s="30">
        <f t="shared" ref="D1235:H1235" si="136">D305+D491+D863+D1049+D677</f>
        <v>20010.729625000004</v>
      </c>
      <c r="E1235" s="30">
        <f t="shared" si="136"/>
        <v>19497.633993589749</v>
      </c>
      <c r="F1235" s="30">
        <f t="shared" si="136"/>
        <v>18984.538362179494</v>
      </c>
      <c r="G1235" s="30">
        <f t="shared" si="136"/>
        <v>18471.442730769239</v>
      </c>
      <c r="H1235" s="30">
        <f t="shared" si="136"/>
        <v>17958.347099358984</v>
      </c>
    </row>
    <row r="1236" spans="2:8">
      <c r="B1236" s="152">
        <f t="shared" si="102"/>
        <v>0</v>
      </c>
      <c r="D1236" s="30">
        <f t="shared" ref="D1236:H1236" si="137">D306+D492+D864+D1050+D678</f>
        <v>0</v>
      </c>
      <c r="E1236" s="30">
        <f t="shared" si="137"/>
        <v>367547.23337499995</v>
      </c>
      <c r="F1236" s="30">
        <f t="shared" si="137"/>
        <v>358122.94533974351</v>
      </c>
      <c r="G1236" s="30">
        <f t="shared" si="137"/>
        <v>348698.65730448713</v>
      </c>
      <c r="H1236" s="30">
        <f t="shared" si="137"/>
        <v>339274.36926923075</v>
      </c>
    </row>
    <row r="1237" spans="2:8">
      <c r="B1237" s="152">
        <f t="shared" si="102"/>
        <v>0</v>
      </c>
      <c r="D1237" s="30">
        <f t="shared" ref="D1237:H1237" si="138">D307+D493+D865+D1051+D679</f>
        <v>0</v>
      </c>
      <c r="E1237" s="30">
        <f t="shared" si="138"/>
        <v>0</v>
      </c>
      <c r="F1237" s="30">
        <f t="shared" si="138"/>
        <v>46167.6</v>
      </c>
      <c r="G1237" s="30">
        <f t="shared" si="138"/>
        <v>44983.81538461538</v>
      </c>
      <c r="H1237" s="30">
        <f t="shared" si="138"/>
        <v>43800.030769230762</v>
      </c>
    </row>
    <row r="1238" spans="2:8">
      <c r="B1238" s="152">
        <f t="shared" si="102"/>
        <v>0</v>
      </c>
      <c r="D1238" s="30">
        <f t="shared" ref="D1238:H1238" si="139">D308+D494+D866+D1052+D680</f>
        <v>319717.37462499994</v>
      </c>
      <c r="E1238" s="30">
        <f t="shared" si="139"/>
        <v>311519.49322435888</v>
      </c>
      <c r="F1238" s="30">
        <f t="shared" si="139"/>
        <v>303321.61182371789</v>
      </c>
      <c r="G1238" s="30">
        <f t="shared" si="139"/>
        <v>295123.73042307689</v>
      </c>
      <c r="H1238" s="30">
        <f t="shared" si="139"/>
        <v>286925.84902243584</v>
      </c>
    </row>
    <row r="1239" spans="2:8">
      <c r="B1239" s="152">
        <f t="shared" si="102"/>
        <v>0</v>
      </c>
      <c r="D1239" s="30">
        <f t="shared" ref="D1239:H1239" si="140">D309+D495+D867+D1053+D681</f>
        <v>0</v>
      </c>
      <c r="E1239" s="30">
        <f t="shared" si="140"/>
        <v>0</v>
      </c>
      <c r="F1239" s="30">
        <f t="shared" si="140"/>
        <v>0</v>
      </c>
      <c r="G1239" s="30">
        <f t="shared" si="140"/>
        <v>0</v>
      </c>
      <c r="H1239" s="30">
        <f t="shared" si="140"/>
        <v>303343.21250000002</v>
      </c>
    </row>
    <row r="1240" spans="2:8">
      <c r="B1240" s="152">
        <f t="shared" si="102"/>
        <v>0</v>
      </c>
      <c r="D1240" s="30">
        <f t="shared" ref="D1240:H1240" si="141">D310+D496+D868+D1054+D682</f>
        <v>0</v>
      </c>
      <c r="E1240" s="30">
        <f t="shared" si="141"/>
        <v>0</v>
      </c>
      <c r="F1240" s="30">
        <f t="shared" si="141"/>
        <v>0</v>
      </c>
      <c r="G1240" s="30">
        <f t="shared" si="141"/>
        <v>0</v>
      </c>
      <c r="H1240" s="30">
        <f t="shared" si="141"/>
        <v>303343.21250000002</v>
      </c>
    </row>
    <row r="1241" spans="2:8">
      <c r="B1241" s="152">
        <f t="shared" si="102"/>
        <v>0</v>
      </c>
      <c r="D1241" s="30">
        <f t="shared" ref="D1241:H1241" si="142">D311+D497+D869+D1055+D683</f>
        <v>6555.766450000001</v>
      </c>
      <c r="E1241" s="30">
        <f t="shared" si="142"/>
        <v>6489.5465868686879</v>
      </c>
      <c r="F1241" s="30">
        <f t="shared" si="142"/>
        <v>6423.3267237373748</v>
      </c>
      <c r="G1241" s="30">
        <f t="shared" si="142"/>
        <v>6357.1068606060617</v>
      </c>
      <c r="H1241" s="30">
        <f t="shared" si="142"/>
        <v>6290.8869974747486</v>
      </c>
    </row>
    <row r="1242" spans="2:8">
      <c r="B1242" s="152">
        <f t="shared" si="102"/>
        <v>0</v>
      </c>
      <c r="D1242" s="30">
        <f t="shared" ref="D1242:H1242" si="143">D312+D498+D870+D1056+D684</f>
        <v>0</v>
      </c>
      <c r="E1242" s="30">
        <f t="shared" si="143"/>
        <v>149600.24</v>
      </c>
      <c r="F1242" s="30">
        <f t="shared" si="143"/>
        <v>148089.12646464646</v>
      </c>
      <c r="G1242" s="30">
        <f t="shared" si="143"/>
        <v>146578.01292929292</v>
      </c>
      <c r="H1242" s="30">
        <f t="shared" si="143"/>
        <v>145066.89939393938</v>
      </c>
    </row>
    <row r="1243" spans="2:8">
      <c r="B1243" s="152">
        <f t="shared" si="102"/>
        <v>0</v>
      </c>
      <c r="D1243" s="30">
        <f t="shared" ref="D1243:H1243" si="144">D313+D499+D871+D1057+D685</f>
        <v>0</v>
      </c>
      <c r="E1243" s="30">
        <f t="shared" si="144"/>
        <v>0</v>
      </c>
      <c r="F1243" s="30">
        <f t="shared" si="144"/>
        <v>0</v>
      </c>
      <c r="G1243" s="30">
        <f t="shared" si="144"/>
        <v>0</v>
      </c>
      <c r="H1243" s="30">
        <f t="shared" si="144"/>
        <v>141447.24</v>
      </c>
    </row>
    <row r="1244" spans="2:8">
      <c r="B1244" s="152">
        <f t="shared" si="102"/>
        <v>0</v>
      </c>
      <c r="D1244" s="30">
        <f t="shared" ref="D1244:H1244" si="145">D314+D500+D872+D1058+D686</f>
        <v>135279.24950000003</v>
      </c>
      <c r="E1244" s="30">
        <f t="shared" si="145"/>
        <v>120248.22177777781</v>
      </c>
      <c r="F1244" s="30">
        <f t="shared" si="145"/>
        <v>105217.19405555559</v>
      </c>
      <c r="G1244" s="30">
        <f t="shared" si="145"/>
        <v>90186.166333333371</v>
      </c>
      <c r="H1244" s="30">
        <f t="shared" si="145"/>
        <v>75155.13861111115</v>
      </c>
    </row>
    <row r="1245" spans="2:8">
      <c r="B1245" s="152">
        <f t="shared" si="102"/>
        <v>0</v>
      </c>
      <c r="D1245" s="30">
        <f t="shared" ref="D1245:H1245" si="146">D315+D501+D873+D1059+D687</f>
        <v>22327.875</v>
      </c>
      <c r="E1245" s="30">
        <f t="shared" si="146"/>
        <v>16745.90625</v>
      </c>
      <c r="F1245" s="30">
        <f t="shared" si="146"/>
        <v>11163.9375</v>
      </c>
      <c r="G1245" s="30">
        <f t="shared" si="146"/>
        <v>5581.96875</v>
      </c>
      <c r="H1245" s="30">
        <f t="shared" si="146"/>
        <v>0</v>
      </c>
    </row>
    <row r="1246" spans="2:8">
      <c r="B1246" s="152">
        <f t="shared" si="102"/>
        <v>0</v>
      </c>
      <c r="D1246" s="30">
        <f t="shared" ref="D1246:H1246" si="147">D316+D502+D874+D1060+D688</f>
        <v>0</v>
      </c>
      <c r="E1246" s="30">
        <f t="shared" si="147"/>
        <v>207833.33333333334</v>
      </c>
      <c r="F1246" s="30">
        <f t="shared" si="147"/>
        <v>192988.09523809524</v>
      </c>
      <c r="G1246" s="30">
        <f t="shared" si="147"/>
        <v>178142.85714285713</v>
      </c>
      <c r="H1246" s="30">
        <f t="shared" si="147"/>
        <v>163297.61904761902</v>
      </c>
    </row>
    <row r="1247" spans="2:8">
      <c r="B1247" s="152">
        <f t="shared" si="102"/>
        <v>0</v>
      </c>
      <c r="D1247" s="30">
        <f t="shared" ref="D1247:H1247" si="148">D317+D503+D875+D1061+D689</f>
        <v>517502.98799999995</v>
      </c>
      <c r="E1247" s="30">
        <f t="shared" si="148"/>
        <v>388127.24099999998</v>
      </c>
      <c r="F1247" s="30">
        <f t="shared" si="148"/>
        <v>258751.49400000001</v>
      </c>
      <c r="G1247" s="30">
        <f t="shared" si="148"/>
        <v>129375.747</v>
      </c>
      <c r="H1247" s="30">
        <f t="shared" si="148"/>
        <v>0</v>
      </c>
    </row>
    <row r="1248" spans="2:8">
      <c r="B1248" s="152">
        <f t="shared" si="102"/>
        <v>0</v>
      </c>
      <c r="D1248" s="30">
        <f t="shared" ref="D1248:H1248" si="149">D318+D504+D876+D1062+D690</f>
        <v>0</v>
      </c>
      <c r="E1248" s="30">
        <f t="shared" si="149"/>
        <v>377550.00000000006</v>
      </c>
      <c r="F1248" s="30">
        <f t="shared" si="149"/>
        <v>283162.50000000006</v>
      </c>
      <c r="G1248" s="30">
        <f t="shared" si="149"/>
        <v>188775.00000000006</v>
      </c>
      <c r="H1248" s="30">
        <f t="shared" si="149"/>
        <v>94387.500000000029</v>
      </c>
    </row>
    <row r="1249" spans="2:8">
      <c r="B1249" s="152">
        <f t="shared" si="102"/>
        <v>0</v>
      </c>
      <c r="D1249" s="30">
        <f t="shared" ref="D1249:H1249" si="150">D319+D505+D877+D1063+D691</f>
        <v>0</v>
      </c>
      <c r="E1249" s="30">
        <f t="shared" si="150"/>
        <v>0</v>
      </c>
      <c r="F1249" s="30">
        <f t="shared" si="150"/>
        <v>405000</v>
      </c>
      <c r="G1249" s="30">
        <f t="shared" si="150"/>
        <v>303750</v>
      </c>
      <c r="H1249" s="30">
        <f t="shared" si="150"/>
        <v>202500</v>
      </c>
    </row>
    <row r="1250" spans="2:8">
      <c r="B1250" s="152">
        <f t="shared" si="102"/>
        <v>0</v>
      </c>
      <c r="D1250" s="30">
        <f t="shared" ref="D1250:H1250" si="151">D320+D506+D878+D1064+D692</f>
        <v>0</v>
      </c>
      <c r="E1250" s="30">
        <f t="shared" si="151"/>
        <v>0</v>
      </c>
      <c r="F1250" s="30">
        <f t="shared" si="151"/>
        <v>0</v>
      </c>
      <c r="G1250" s="30">
        <f t="shared" si="151"/>
        <v>405000</v>
      </c>
      <c r="H1250" s="30">
        <f t="shared" si="151"/>
        <v>303750</v>
      </c>
    </row>
    <row r="1251" spans="2:8">
      <c r="B1251" s="152">
        <f t="shared" si="102"/>
        <v>0</v>
      </c>
      <c r="D1251" s="30">
        <f t="shared" ref="D1251:H1251" si="152">D321+D507+D879+D1065+D693</f>
        <v>0</v>
      </c>
      <c r="E1251" s="30">
        <f t="shared" si="152"/>
        <v>0</v>
      </c>
      <c r="F1251" s="30">
        <f t="shared" si="152"/>
        <v>0</v>
      </c>
      <c r="G1251" s="30">
        <f t="shared" si="152"/>
        <v>0</v>
      </c>
      <c r="H1251" s="30">
        <f t="shared" si="152"/>
        <v>405000</v>
      </c>
    </row>
    <row r="1252" spans="2:8">
      <c r="B1252" s="152">
        <f t="shared" si="102"/>
        <v>0</v>
      </c>
      <c r="D1252" s="30">
        <f t="shared" ref="D1252:H1252" si="153">D322+D508+D880+D1066+D694</f>
        <v>445511.43</v>
      </c>
      <c r="E1252" s="30">
        <f t="shared" si="153"/>
        <v>334133.57250000001</v>
      </c>
      <c r="F1252" s="30">
        <f t="shared" si="153"/>
        <v>222755.71500000003</v>
      </c>
      <c r="G1252" s="30">
        <f t="shared" si="153"/>
        <v>111377.85750000001</v>
      </c>
      <c r="H1252" s="30">
        <f t="shared" si="153"/>
        <v>0</v>
      </c>
    </row>
    <row r="1253" spans="2:8">
      <c r="B1253" s="152">
        <f t="shared" si="102"/>
        <v>0</v>
      </c>
      <c r="D1253" s="30">
        <f t="shared" ref="D1253:H1253" si="154">D323+D509+D881+D1067+D695</f>
        <v>750188.85825000016</v>
      </c>
      <c r="E1253" s="30">
        <f t="shared" si="154"/>
        <v>710705.23413157905</v>
      </c>
      <c r="F1253" s="30">
        <f t="shared" si="154"/>
        <v>671221.61001315794</v>
      </c>
      <c r="G1253" s="30">
        <f t="shared" si="154"/>
        <v>631737.98589473683</v>
      </c>
      <c r="H1253" s="30">
        <f t="shared" si="154"/>
        <v>592254.36177631584</v>
      </c>
    </row>
    <row r="1254" spans="2:8">
      <c r="B1254" s="152">
        <f t="shared" si="102"/>
        <v>0</v>
      </c>
      <c r="D1254" s="30">
        <f t="shared" ref="D1254:H1254" si="155">D324+D510+D882+D1068+D696</f>
        <v>0</v>
      </c>
      <c r="E1254" s="30">
        <f t="shared" si="155"/>
        <v>476774.66849999997</v>
      </c>
      <c r="F1254" s="30">
        <f t="shared" si="155"/>
        <v>451681.26489473681</v>
      </c>
      <c r="G1254" s="30">
        <f t="shared" si="155"/>
        <v>426587.86128947366</v>
      </c>
      <c r="H1254" s="30">
        <f t="shared" si="155"/>
        <v>401494.4576842105</v>
      </c>
    </row>
    <row r="1255" spans="2:8">
      <c r="B1255" s="152">
        <f t="shared" si="102"/>
        <v>0</v>
      </c>
      <c r="D1255" s="30">
        <f t="shared" ref="D1255:H1255" si="156">D325+D511+D883+D1069+D697</f>
        <v>-3096.5068333333338</v>
      </c>
      <c r="E1255" s="30">
        <f t="shared" si="156"/>
        <v>-2989.7307356321844</v>
      </c>
      <c r="F1255" s="30">
        <f t="shared" si="156"/>
        <v>-2882.954637931035</v>
      </c>
      <c r="G1255" s="30">
        <f t="shared" si="156"/>
        <v>-2776.1785402298856</v>
      </c>
      <c r="H1255" s="30">
        <f t="shared" si="156"/>
        <v>-2669.4024425287362</v>
      </c>
    </row>
    <row r="1256" spans="2:8">
      <c r="B1256" s="152">
        <f t="shared" si="102"/>
        <v>0</v>
      </c>
      <c r="D1256" s="30">
        <f t="shared" ref="D1256:H1256" si="157">D326+D512+D884+D1070+D698</f>
        <v>253649.42850000001</v>
      </c>
      <c r="E1256" s="30">
        <f t="shared" si="157"/>
        <v>240299.45857894738</v>
      </c>
      <c r="F1256" s="30">
        <f t="shared" si="157"/>
        <v>226949.48865789475</v>
      </c>
      <c r="G1256" s="30">
        <f t="shared" si="157"/>
        <v>213599.51873684212</v>
      </c>
      <c r="H1256" s="30">
        <f t="shared" si="157"/>
        <v>200249.54881578949</v>
      </c>
    </row>
    <row r="1257" spans="2:8">
      <c r="B1257" s="152">
        <f t="shared" si="102"/>
        <v>0</v>
      </c>
      <c r="D1257" s="30">
        <f t="shared" ref="D1257:H1257" si="158">D327+D513+D885+D1071+D699</f>
        <v>9358.2708750000002</v>
      </c>
      <c r="E1257" s="30">
        <f t="shared" si="158"/>
        <v>9118.3152115384619</v>
      </c>
      <c r="F1257" s="30">
        <f t="shared" si="158"/>
        <v>8878.3595480769236</v>
      </c>
      <c r="G1257" s="30">
        <f t="shared" si="158"/>
        <v>8638.4038846153853</v>
      </c>
      <c r="H1257" s="30">
        <f t="shared" si="158"/>
        <v>8398.448221153847</v>
      </c>
    </row>
    <row r="1258" spans="2:8">
      <c r="B1258" s="152">
        <f t="shared" si="102"/>
        <v>0</v>
      </c>
      <c r="D1258" s="30">
        <f t="shared" ref="D1258:H1258" si="159">D328+D514+D886+D1072+D700</f>
        <v>49988.969333333342</v>
      </c>
      <c r="E1258" s="30">
        <f t="shared" si="159"/>
        <v>48265.211770114947</v>
      </c>
      <c r="F1258" s="30">
        <f t="shared" si="159"/>
        <v>46541.454206896553</v>
      </c>
      <c r="G1258" s="30">
        <f t="shared" si="159"/>
        <v>44817.696643678159</v>
      </c>
      <c r="H1258" s="30">
        <f t="shared" si="159"/>
        <v>43093.939080459764</v>
      </c>
    </row>
    <row r="1259" spans="2:8">
      <c r="B1259" s="152">
        <f t="shared" si="102"/>
        <v>0</v>
      </c>
      <c r="D1259" s="30">
        <f t="shared" ref="D1259:H1259" si="160">D329+D515+D887+D1073+D701</f>
        <v>-49885.827450000004</v>
      </c>
      <c r="E1259" s="30">
        <f t="shared" si="160"/>
        <v>-49381.930203030308</v>
      </c>
      <c r="F1259" s="30">
        <f t="shared" si="160"/>
        <v>-48878.032956060611</v>
      </c>
      <c r="G1259" s="30">
        <f t="shared" si="160"/>
        <v>-48374.135709090915</v>
      </c>
      <c r="H1259" s="30">
        <f t="shared" si="160"/>
        <v>-47870.238462121219</v>
      </c>
    </row>
    <row r="1260" spans="2:8">
      <c r="B1260" s="152">
        <f t="shared" si="102"/>
        <v>0</v>
      </c>
      <c r="D1260" s="30">
        <f t="shared" ref="D1260:H1260" si="161">D330+D516+D888+D1074+D702</f>
        <v>0</v>
      </c>
      <c r="E1260" s="30">
        <f t="shared" si="161"/>
        <v>407431.60499999998</v>
      </c>
      <c r="F1260" s="30">
        <f t="shared" si="161"/>
        <v>403316.13424242422</v>
      </c>
      <c r="G1260" s="30">
        <f t="shared" si="161"/>
        <v>399200.66348484845</v>
      </c>
      <c r="H1260" s="30">
        <f t="shared" si="161"/>
        <v>395085.19272727269</v>
      </c>
    </row>
    <row r="1261" spans="2:8">
      <c r="B1261" s="152">
        <f t="shared" si="102"/>
        <v>0</v>
      </c>
      <c r="D1261" s="30">
        <f t="shared" ref="D1261:H1261" si="162">D331+D517+D889+D1075+D703</f>
        <v>3154.4208749999998</v>
      </c>
      <c r="E1261" s="30">
        <f t="shared" si="162"/>
        <v>3114.4914968354428</v>
      </c>
      <c r="F1261" s="30">
        <f t="shared" si="162"/>
        <v>3074.5621186708859</v>
      </c>
      <c r="G1261" s="30">
        <f t="shared" si="162"/>
        <v>3034.6327405063289</v>
      </c>
      <c r="H1261" s="30">
        <f t="shared" si="162"/>
        <v>2994.7033623417719</v>
      </c>
    </row>
    <row r="1262" spans="2:8">
      <c r="B1262" s="152">
        <f t="shared" si="102"/>
        <v>0</v>
      </c>
      <c r="D1262" s="30">
        <f t="shared" ref="D1262:H1262" si="163">D332+D518+D890+D1076+D704</f>
        <v>152187.416</v>
      </c>
      <c r="E1262" s="30">
        <f t="shared" si="163"/>
        <v>135277.7031111111</v>
      </c>
      <c r="F1262" s="30">
        <f t="shared" si="163"/>
        <v>118367.99022222222</v>
      </c>
      <c r="G1262" s="30">
        <f t="shared" si="163"/>
        <v>101458.27733333333</v>
      </c>
      <c r="H1262" s="30">
        <f t="shared" si="163"/>
        <v>84548.564444444448</v>
      </c>
    </row>
    <row r="1263" spans="2:8">
      <c r="B1263" s="152">
        <f t="shared" si="102"/>
        <v>0</v>
      </c>
      <c r="D1263" s="30">
        <f t="shared" ref="D1263:H1263" si="164">D333+D519+D891+D1077+D705</f>
        <v>0</v>
      </c>
      <c r="E1263" s="30">
        <f t="shared" si="164"/>
        <v>63482.704999999994</v>
      </c>
      <c r="F1263" s="30">
        <f t="shared" si="164"/>
        <v>56429.071111111109</v>
      </c>
      <c r="G1263" s="30">
        <f t="shared" si="164"/>
        <v>49375.437222222223</v>
      </c>
      <c r="H1263" s="30">
        <f t="shared" si="164"/>
        <v>42321.803333333337</v>
      </c>
    </row>
    <row r="1264" spans="2:8">
      <c r="B1264" s="152">
        <f t="shared" si="102"/>
        <v>0</v>
      </c>
      <c r="D1264" s="30">
        <f t="shared" ref="D1264:H1264" si="165">D334+D520+D892+D1078+D706</f>
        <v>258686.19125</v>
      </c>
      <c r="E1264" s="30">
        <f t="shared" si="165"/>
        <v>252053.2119871795</v>
      </c>
      <c r="F1264" s="30">
        <f t="shared" si="165"/>
        <v>245420.232724359</v>
      </c>
      <c r="G1264" s="30">
        <f t="shared" si="165"/>
        <v>238787.25346153849</v>
      </c>
      <c r="H1264" s="30">
        <f t="shared" si="165"/>
        <v>232154.27419871799</v>
      </c>
    </row>
    <row r="1265" spans="2:8">
      <c r="B1265" s="152">
        <f t="shared" si="102"/>
        <v>0</v>
      </c>
      <c r="D1265" s="30">
        <f t="shared" ref="D1265:H1265" si="166">D335+D521+D893+D1079+D707</f>
        <v>0</v>
      </c>
      <c r="E1265" s="30">
        <f t="shared" si="166"/>
        <v>-13112.133625000011</v>
      </c>
      <c r="F1265" s="30">
        <f t="shared" si="166"/>
        <v>-12775.925070512832</v>
      </c>
      <c r="G1265" s="30">
        <f t="shared" si="166"/>
        <v>-12439.716516025652</v>
      </c>
      <c r="H1265" s="30">
        <f t="shared" si="166"/>
        <v>-12103.507961538471</v>
      </c>
    </row>
    <row r="1266" spans="2:8">
      <c r="B1266" s="152">
        <f t="shared" ref="B1266:B1319" si="167">B1080</f>
        <v>0</v>
      </c>
      <c r="D1266" s="30">
        <f t="shared" ref="D1266:H1266" si="168">D336+D522+D894+D1080+D708</f>
        <v>-522.74</v>
      </c>
      <c r="E1266" s="30">
        <f t="shared" si="168"/>
        <v>-504.7144827586207</v>
      </c>
      <c r="F1266" s="30">
        <f t="shared" si="168"/>
        <v>-486.6889655172414</v>
      </c>
      <c r="G1266" s="30">
        <f t="shared" si="168"/>
        <v>-468.66344827586209</v>
      </c>
      <c r="H1266" s="30">
        <f t="shared" si="168"/>
        <v>-450.63793103448279</v>
      </c>
    </row>
    <row r="1267" spans="2:8">
      <c r="B1267" s="152">
        <f t="shared" si="167"/>
        <v>0</v>
      </c>
      <c r="D1267" s="30">
        <f t="shared" ref="D1267:H1267" si="169">D337+D523+D895+D1081+D709</f>
        <v>19121.418166666666</v>
      </c>
      <c r="E1267" s="30">
        <f t="shared" si="169"/>
        <v>18462.058919540228</v>
      </c>
      <c r="F1267" s="30">
        <f t="shared" si="169"/>
        <v>17802.69967241379</v>
      </c>
      <c r="G1267" s="30">
        <f t="shared" si="169"/>
        <v>17143.340425287352</v>
      </c>
      <c r="H1267" s="30">
        <f t="shared" si="169"/>
        <v>16483.981178160913</v>
      </c>
    </row>
    <row r="1268" spans="2:8">
      <c r="B1268" s="152">
        <f t="shared" si="167"/>
        <v>0</v>
      </c>
      <c r="D1268" s="30">
        <f t="shared" ref="D1268:H1268" si="170">D338+D524+D896+D1082+D710</f>
        <v>3784.85</v>
      </c>
      <c r="E1268" s="30">
        <f t="shared" si="170"/>
        <v>3654.3379310344826</v>
      </c>
      <c r="F1268" s="30">
        <f t="shared" si="170"/>
        <v>3523.8258620689653</v>
      </c>
      <c r="G1268" s="30">
        <f t="shared" si="170"/>
        <v>3393.313793103448</v>
      </c>
      <c r="H1268" s="30">
        <f t="shared" si="170"/>
        <v>3262.8017241379307</v>
      </c>
    </row>
    <row r="1269" spans="2:8">
      <c r="B1269" s="152">
        <f t="shared" si="167"/>
        <v>0</v>
      </c>
      <c r="D1269" s="30">
        <f t="shared" ref="D1269:H1269" si="171">D339+D525+D897+D1083+D711</f>
        <v>0</v>
      </c>
      <c r="E1269" s="30">
        <f t="shared" si="171"/>
        <v>1101.6578333333332</v>
      </c>
      <c r="F1269" s="30">
        <f t="shared" si="171"/>
        <v>1063.6696321839079</v>
      </c>
      <c r="G1269" s="30">
        <f t="shared" si="171"/>
        <v>1025.6814310344826</v>
      </c>
      <c r="H1269" s="30">
        <f t="shared" si="171"/>
        <v>987.69322988505724</v>
      </c>
    </row>
    <row r="1270" spans="2:8">
      <c r="B1270" s="152">
        <f t="shared" si="167"/>
        <v>0</v>
      </c>
      <c r="D1270" s="30">
        <f t="shared" ref="D1270:H1270" si="172">D340+D526+D898+D1084+D712</f>
        <v>0</v>
      </c>
      <c r="E1270" s="30">
        <f t="shared" si="172"/>
        <v>0</v>
      </c>
      <c r="F1270" s="30">
        <f t="shared" si="172"/>
        <v>4916.666666666667</v>
      </c>
      <c r="G1270" s="30">
        <f t="shared" si="172"/>
        <v>4747.1264367816093</v>
      </c>
      <c r="H1270" s="30">
        <f t="shared" si="172"/>
        <v>4577.5862068965516</v>
      </c>
    </row>
    <row r="1271" spans="2:8">
      <c r="B1271" s="152">
        <f t="shared" si="167"/>
        <v>0</v>
      </c>
      <c r="D1271" s="30">
        <f t="shared" ref="D1271:H1271" si="173">D341+D527+D899+D1085+D713</f>
        <v>0</v>
      </c>
      <c r="E1271" s="30">
        <f t="shared" si="173"/>
        <v>0</v>
      </c>
      <c r="F1271" s="30">
        <f t="shared" si="173"/>
        <v>0</v>
      </c>
      <c r="G1271" s="30">
        <f t="shared" si="173"/>
        <v>4916.666666666667</v>
      </c>
      <c r="H1271" s="30">
        <f t="shared" si="173"/>
        <v>4747.1264367816093</v>
      </c>
    </row>
    <row r="1272" spans="2:8">
      <c r="B1272" s="152">
        <f t="shared" si="167"/>
        <v>0</v>
      </c>
      <c r="D1272" s="30">
        <f t="shared" ref="D1272:H1272" si="174">D342+D528+D900+D1086+D714</f>
        <v>0</v>
      </c>
      <c r="E1272" s="30">
        <f t="shared" si="174"/>
        <v>0</v>
      </c>
      <c r="F1272" s="30">
        <f t="shared" si="174"/>
        <v>0</v>
      </c>
      <c r="G1272" s="30">
        <f t="shared" si="174"/>
        <v>0</v>
      </c>
      <c r="H1272" s="30">
        <f t="shared" si="174"/>
        <v>4916.666666666667</v>
      </c>
    </row>
    <row r="1273" spans="2:8">
      <c r="B1273" s="152">
        <f t="shared" si="167"/>
        <v>0</v>
      </c>
      <c r="D1273" s="30">
        <f t="shared" ref="D1273:H1273" si="175">D343+D529+D901+D1087+D715</f>
        <v>317925.32874999999</v>
      </c>
      <c r="E1273" s="30">
        <f t="shared" si="175"/>
        <v>309773.39724358974</v>
      </c>
      <c r="F1273" s="30">
        <f t="shared" si="175"/>
        <v>301621.4657371795</v>
      </c>
      <c r="G1273" s="30">
        <f t="shared" si="175"/>
        <v>293469.53423076926</v>
      </c>
      <c r="H1273" s="30">
        <f t="shared" si="175"/>
        <v>285317.60272435902</v>
      </c>
    </row>
    <row r="1274" spans="2:8">
      <c r="B1274" s="152">
        <f t="shared" si="167"/>
        <v>0</v>
      </c>
      <c r="D1274" s="30">
        <f t="shared" ref="D1274:H1274" si="176">D344+D530+D902+D1088+D716</f>
        <v>0</v>
      </c>
      <c r="E1274" s="30">
        <f t="shared" si="176"/>
        <v>10274.394375</v>
      </c>
      <c r="F1274" s="30">
        <f t="shared" si="176"/>
        <v>10010.948365384615</v>
      </c>
      <c r="G1274" s="30">
        <f t="shared" si="176"/>
        <v>9747.5023557692293</v>
      </c>
      <c r="H1274" s="30">
        <f t="shared" si="176"/>
        <v>9484.0563461538441</v>
      </c>
    </row>
    <row r="1275" spans="2:8">
      <c r="B1275" s="152">
        <f t="shared" si="167"/>
        <v>0</v>
      </c>
      <c r="D1275" s="30">
        <f t="shared" ref="D1275:H1275" si="177">D345+D531+D903+D1089+D717</f>
        <v>70422.83633333334</v>
      </c>
      <c r="E1275" s="30">
        <f t="shared" si="177"/>
        <v>65392.633738095246</v>
      </c>
      <c r="F1275" s="30">
        <f t="shared" si="177"/>
        <v>60362.431142857153</v>
      </c>
      <c r="G1275" s="30">
        <f t="shared" si="177"/>
        <v>55332.228547619059</v>
      </c>
      <c r="H1275" s="30">
        <f t="shared" si="177"/>
        <v>50302.025952380965</v>
      </c>
    </row>
    <row r="1276" spans="2:8">
      <c r="B1276" s="152">
        <f t="shared" si="167"/>
        <v>0</v>
      </c>
      <c r="D1276" s="30">
        <f t="shared" ref="D1276:H1276" si="178">D346+D532+D904+D1090+D718</f>
        <v>0</v>
      </c>
      <c r="E1276" s="30">
        <f t="shared" si="178"/>
        <v>122976.5625</v>
      </c>
      <c r="F1276" s="30">
        <f t="shared" si="178"/>
        <v>121419.89715189874</v>
      </c>
      <c r="G1276" s="30">
        <f t="shared" si="178"/>
        <v>119863.23180379748</v>
      </c>
      <c r="H1276" s="30">
        <f t="shared" si="178"/>
        <v>118306.56645569621</v>
      </c>
    </row>
    <row r="1277" spans="2:8">
      <c r="B1277" s="152">
        <f t="shared" si="167"/>
        <v>0</v>
      </c>
      <c r="D1277" s="30">
        <f t="shared" ref="D1277:H1277" si="179">D347+D533+D905+D1091+D719</f>
        <v>41413.301000000007</v>
      </c>
      <c r="E1277" s="30">
        <f t="shared" si="179"/>
        <v>40351.421487179497</v>
      </c>
      <c r="F1277" s="30">
        <f t="shared" si="179"/>
        <v>39289.541974358981</v>
      </c>
      <c r="G1277" s="30">
        <f t="shared" si="179"/>
        <v>38227.662461538464</v>
      </c>
      <c r="H1277" s="30">
        <f t="shared" si="179"/>
        <v>37165.782948717955</v>
      </c>
    </row>
    <row r="1278" spans="2:8">
      <c r="B1278" s="152">
        <f t="shared" si="167"/>
        <v>0</v>
      </c>
      <c r="D1278" s="30">
        <f t="shared" ref="D1278:H1278" si="180">D348+D534+D906+D1092+D720</f>
        <v>0</v>
      </c>
      <c r="E1278" s="30">
        <f t="shared" si="180"/>
        <v>267750</v>
      </c>
      <c r="F1278" s="30">
        <f t="shared" si="180"/>
        <v>263211.86440677964</v>
      </c>
      <c r="G1278" s="30">
        <f t="shared" si="180"/>
        <v>258673.72881355931</v>
      </c>
      <c r="H1278" s="30">
        <f t="shared" si="180"/>
        <v>254135.59322033898</v>
      </c>
    </row>
    <row r="1279" spans="2:8">
      <c r="B1279" s="152">
        <f t="shared" si="167"/>
        <v>0</v>
      </c>
      <c r="D1279" s="30">
        <f t="shared" ref="D1279:H1279" si="181">D349+D535+D907+D1093+D721</f>
        <v>0</v>
      </c>
      <c r="E1279" s="30">
        <f t="shared" si="181"/>
        <v>80749.05</v>
      </c>
      <c r="F1279" s="30">
        <f t="shared" si="181"/>
        <v>71776.933333333334</v>
      </c>
      <c r="G1279" s="30">
        <f t="shared" si="181"/>
        <v>62804.816666666666</v>
      </c>
      <c r="H1279" s="30">
        <f t="shared" si="181"/>
        <v>53832.7</v>
      </c>
    </row>
    <row r="1280" spans="2:8">
      <c r="B1280" s="152">
        <f t="shared" si="167"/>
        <v>0</v>
      </c>
      <c r="D1280" s="30">
        <f t="shared" ref="D1280:H1280" si="182">D350+D536+D908+D1094+D722</f>
        <v>99294.163333333345</v>
      </c>
      <c r="E1280" s="30">
        <f t="shared" si="182"/>
        <v>92201.723095238107</v>
      </c>
      <c r="F1280" s="30">
        <f t="shared" si="182"/>
        <v>85109.282857142869</v>
      </c>
      <c r="G1280" s="30">
        <f t="shared" si="182"/>
        <v>78016.842619047631</v>
      </c>
      <c r="H1280" s="30">
        <f t="shared" si="182"/>
        <v>70924.402380952393</v>
      </c>
    </row>
    <row r="1281" spans="2:8">
      <c r="B1281" s="152">
        <f t="shared" si="167"/>
        <v>0</v>
      </c>
      <c r="D1281" s="30">
        <f t="shared" ref="D1281:H1281" si="183">D351+D537+D909+D1095+D723</f>
        <v>0</v>
      </c>
      <c r="E1281" s="30">
        <f t="shared" si="183"/>
        <v>3339.9686666666666</v>
      </c>
      <c r="F1281" s="30">
        <f t="shared" si="183"/>
        <v>3101.399476190476</v>
      </c>
      <c r="G1281" s="30">
        <f t="shared" si="183"/>
        <v>2862.8302857142853</v>
      </c>
      <c r="H1281" s="30">
        <f t="shared" si="183"/>
        <v>2624.2610952380946</v>
      </c>
    </row>
    <row r="1282" spans="2:8">
      <c r="B1282" s="152">
        <f t="shared" si="167"/>
        <v>0</v>
      </c>
      <c r="D1282" s="30">
        <f t="shared" ref="D1282:H1282" si="184">D352+D538+D910+D1096+D724</f>
        <v>156087.19274999999</v>
      </c>
      <c r="E1282" s="30">
        <f t="shared" si="184"/>
        <v>152084.95703846152</v>
      </c>
      <c r="F1282" s="30">
        <f t="shared" si="184"/>
        <v>148082.72132692306</v>
      </c>
      <c r="G1282" s="30">
        <f t="shared" si="184"/>
        <v>144080.48561538459</v>
      </c>
      <c r="H1282" s="30">
        <f t="shared" si="184"/>
        <v>140078.24990384612</v>
      </c>
    </row>
    <row r="1283" spans="2:8">
      <c r="B1283" s="152">
        <f t="shared" si="167"/>
        <v>0</v>
      </c>
      <c r="D1283" s="30">
        <f t="shared" ref="D1283:H1283" si="185">D353+D539+D911+D1097+D725</f>
        <v>0</v>
      </c>
      <c r="E1283" s="30">
        <f t="shared" si="185"/>
        <v>78070.327999999994</v>
      </c>
      <c r="F1283" s="30">
        <f t="shared" si="185"/>
        <v>76068.524717948705</v>
      </c>
      <c r="G1283" s="30">
        <f t="shared" si="185"/>
        <v>74066.721435897431</v>
      </c>
      <c r="H1283" s="30">
        <f t="shared" si="185"/>
        <v>72064.918153846142</v>
      </c>
    </row>
    <row r="1284" spans="2:8">
      <c r="B1284" s="152">
        <f t="shared" si="167"/>
        <v>0</v>
      </c>
      <c r="D1284" s="30">
        <f t="shared" ref="D1284:H1284" si="186">D354+D540+D912+D1098+D726</f>
        <v>216595.4105</v>
      </c>
      <c r="E1284" s="30">
        <f t="shared" si="186"/>
        <v>212924.30184745762</v>
      </c>
      <c r="F1284" s="30">
        <f t="shared" si="186"/>
        <v>209253.19319491525</v>
      </c>
      <c r="G1284" s="30">
        <f t="shared" si="186"/>
        <v>205582.08454237288</v>
      </c>
      <c r="H1284" s="30">
        <f t="shared" si="186"/>
        <v>201910.9758898305</v>
      </c>
    </row>
    <row r="1285" spans="2:8">
      <c r="B1285" s="152">
        <f t="shared" si="167"/>
        <v>0</v>
      </c>
      <c r="D1285" s="30">
        <f t="shared" ref="D1285:H1285" si="187">D355+D541+D913+D1099+D727</f>
        <v>0</v>
      </c>
      <c r="E1285" s="30">
        <f t="shared" si="187"/>
        <v>134866.66666666666</v>
      </c>
      <c r="F1285" s="30">
        <f t="shared" si="187"/>
        <v>132580.79096045197</v>
      </c>
      <c r="G1285" s="30">
        <f t="shared" si="187"/>
        <v>130294.91525423728</v>
      </c>
      <c r="H1285" s="30">
        <f t="shared" si="187"/>
        <v>128009.03954802259</v>
      </c>
    </row>
    <row r="1286" spans="2:8">
      <c r="B1286" s="152">
        <f t="shared" si="167"/>
        <v>0</v>
      </c>
      <c r="D1286" s="30">
        <f t="shared" ref="D1286:H1286" si="188">D356+D542+D914+D1100+D728</f>
        <v>0</v>
      </c>
      <c r="E1286" s="30">
        <f t="shared" si="188"/>
        <v>233041.66666666666</v>
      </c>
      <c r="F1286" s="30">
        <f t="shared" si="188"/>
        <v>229091.80790960451</v>
      </c>
      <c r="G1286" s="30">
        <f t="shared" si="188"/>
        <v>225141.94915254237</v>
      </c>
      <c r="H1286" s="30">
        <f t="shared" si="188"/>
        <v>221192.09039548022</v>
      </c>
    </row>
    <row r="1287" spans="2:8">
      <c r="B1287" s="152">
        <f t="shared" si="167"/>
        <v>0</v>
      </c>
      <c r="D1287" s="30">
        <f t="shared" ref="D1287:H1287" si="189">D357+D543+D915+D1101+D729</f>
        <v>64834.658999999992</v>
      </c>
      <c r="E1287" s="30">
        <f t="shared" si="189"/>
        <v>48625.994249999996</v>
      </c>
      <c r="F1287" s="30">
        <f t="shared" si="189"/>
        <v>32417.3295</v>
      </c>
      <c r="G1287" s="30">
        <f t="shared" si="189"/>
        <v>16208.66475</v>
      </c>
      <c r="H1287" s="30">
        <f t="shared" si="189"/>
        <v>0</v>
      </c>
    </row>
    <row r="1288" spans="2:8">
      <c r="B1288" s="152">
        <f t="shared" si="167"/>
        <v>0</v>
      </c>
      <c r="D1288" s="30">
        <f t="shared" ref="D1288:H1288" si="190">D358+D544+D916+D1102+D730</f>
        <v>0</v>
      </c>
      <c r="E1288" s="30">
        <f t="shared" si="190"/>
        <v>99201.86099999999</v>
      </c>
      <c r="F1288" s="30">
        <f t="shared" si="190"/>
        <v>74401.395749999996</v>
      </c>
      <c r="G1288" s="30">
        <f t="shared" si="190"/>
        <v>49600.930500000002</v>
      </c>
      <c r="H1288" s="30">
        <f t="shared" si="190"/>
        <v>24800.465250000001</v>
      </c>
    </row>
    <row r="1289" spans="2:8">
      <c r="B1289" s="152">
        <f t="shared" si="167"/>
        <v>0</v>
      </c>
      <c r="D1289" s="30">
        <f t="shared" ref="D1289:H1289" si="191">D359+D545+D917+D1103+D731</f>
        <v>0</v>
      </c>
      <c r="E1289" s="30">
        <f t="shared" si="191"/>
        <v>487500</v>
      </c>
      <c r="F1289" s="30">
        <f t="shared" si="191"/>
        <v>461842.10526315786</v>
      </c>
      <c r="G1289" s="30">
        <f t="shared" si="191"/>
        <v>436184.21052631579</v>
      </c>
      <c r="H1289" s="30">
        <f t="shared" si="191"/>
        <v>410526.31578947371</v>
      </c>
    </row>
    <row r="1290" spans="2:8">
      <c r="B1290" s="152">
        <f t="shared" si="167"/>
        <v>0</v>
      </c>
      <c r="D1290" s="30">
        <f t="shared" ref="D1290:H1290" si="192">D360+D546+D918+D1104+D732</f>
        <v>538314.70975000004</v>
      </c>
      <c r="E1290" s="30">
        <f t="shared" si="192"/>
        <v>524511.76847435907</v>
      </c>
      <c r="F1290" s="30">
        <f t="shared" si="192"/>
        <v>510708.82719871803</v>
      </c>
      <c r="G1290" s="30">
        <f t="shared" si="192"/>
        <v>496905.885923077</v>
      </c>
      <c r="H1290" s="30">
        <f t="shared" si="192"/>
        <v>483102.94464743597</v>
      </c>
    </row>
    <row r="1291" spans="2:8">
      <c r="B1291" s="152">
        <f t="shared" si="167"/>
        <v>0</v>
      </c>
      <c r="D1291" s="30">
        <f t="shared" ref="D1291:H1291" si="193">D361+D547+D919+D1105+D733</f>
        <v>0</v>
      </c>
      <c r="E1291" s="30">
        <f t="shared" si="193"/>
        <v>1790707.2792499999</v>
      </c>
      <c r="F1291" s="30">
        <f t="shared" si="193"/>
        <v>1744791.7079871795</v>
      </c>
      <c r="G1291" s="30">
        <f t="shared" si="193"/>
        <v>1698876.1367243589</v>
      </c>
      <c r="H1291" s="30">
        <f t="shared" si="193"/>
        <v>1652960.5654615383</v>
      </c>
    </row>
    <row r="1292" spans="2:8">
      <c r="B1292" s="152">
        <f t="shared" si="167"/>
        <v>0</v>
      </c>
      <c r="D1292" s="30">
        <f t="shared" ref="D1292:H1292" si="194">D362+D548+D920+D1106+D734</f>
        <v>0</v>
      </c>
      <c r="E1292" s="30">
        <f t="shared" si="194"/>
        <v>158000</v>
      </c>
      <c r="F1292" s="30">
        <f t="shared" si="194"/>
        <v>153948.71794871794</v>
      </c>
      <c r="G1292" s="30">
        <f t="shared" si="194"/>
        <v>149897.43589743588</v>
      </c>
      <c r="H1292" s="30">
        <f t="shared" si="194"/>
        <v>145846.15384615381</v>
      </c>
    </row>
    <row r="1293" spans="2:8">
      <c r="B1293" s="152">
        <f t="shared" si="167"/>
        <v>0</v>
      </c>
      <c r="D1293" s="30">
        <f t="shared" ref="D1293:H1293" si="195">D363+D549+D921+D1107+D735</f>
        <v>0</v>
      </c>
      <c r="E1293" s="30">
        <f t="shared" si="195"/>
        <v>800467.50000000012</v>
      </c>
      <c r="F1293" s="30">
        <f t="shared" si="195"/>
        <v>779942.69230769237</v>
      </c>
      <c r="G1293" s="30">
        <f t="shared" si="195"/>
        <v>759417.88461538462</v>
      </c>
      <c r="H1293" s="30">
        <f t="shared" si="195"/>
        <v>738893.07692307688</v>
      </c>
    </row>
    <row r="1294" spans="2:8">
      <c r="B1294" s="152">
        <f t="shared" si="167"/>
        <v>0</v>
      </c>
      <c r="D1294" s="30">
        <f t="shared" ref="D1294:H1294" si="196">D364+D550+D922+D1108+D736</f>
        <v>0</v>
      </c>
      <c r="E1294" s="30">
        <f t="shared" si="196"/>
        <v>64125</v>
      </c>
      <c r="F1294" s="30">
        <f t="shared" si="196"/>
        <v>57000</v>
      </c>
      <c r="G1294" s="30">
        <f t="shared" si="196"/>
        <v>49875</v>
      </c>
      <c r="H1294" s="30">
        <f t="shared" si="196"/>
        <v>42750</v>
      </c>
    </row>
    <row r="1295" spans="2:8">
      <c r="B1295" s="152">
        <f t="shared" si="167"/>
        <v>0</v>
      </c>
      <c r="D1295" s="30">
        <f t="shared" ref="D1295:H1295" si="197">D365+D551+D923+D1109+D737</f>
        <v>0</v>
      </c>
      <c r="E1295" s="30">
        <f t="shared" si="197"/>
        <v>748853.34375</v>
      </c>
      <c r="F1295" s="30">
        <f t="shared" si="197"/>
        <v>729651.9759615385</v>
      </c>
      <c r="G1295" s="30">
        <f t="shared" si="197"/>
        <v>710450.60817307699</v>
      </c>
      <c r="H1295" s="30">
        <f t="shared" si="197"/>
        <v>691249.24038461549</v>
      </c>
    </row>
    <row r="1296" spans="2:8">
      <c r="B1296" s="152">
        <f t="shared" si="167"/>
        <v>0</v>
      </c>
      <c r="D1296" s="30">
        <f t="shared" ref="D1296:H1296" si="198">D366+D552+D924+D1110+D738</f>
        <v>5494749.2098085769</v>
      </c>
      <c r="E1296" s="30">
        <f t="shared" si="198"/>
        <v>5457871.6983333519</v>
      </c>
      <c r="F1296" s="30">
        <f t="shared" si="198"/>
        <v>5420994.1868581269</v>
      </c>
      <c r="G1296" s="30">
        <f t="shared" si="198"/>
        <v>5384116.6753829019</v>
      </c>
      <c r="H1296" s="30">
        <f t="shared" si="198"/>
        <v>5347239.1639076769</v>
      </c>
    </row>
    <row r="1297" spans="2:8">
      <c r="B1297" s="152">
        <f t="shared" si="167"/>
        <v>0</v>
      </c>
      <c r="D1297" s="30">
        <f t="shared" ref="D1297:H1297" si="199">D367+D553+D925+D1111+D739</f>
        <v>386378.7705562067</v>
      </c>
      <c r="E1297" s="30">
        <f t="shared" si="199"/>
        <v>383785.62444509123</v>
      </c>
      <c r="F1297" s="30">
        <f t="shared" si="199"/>
        <v>381192.47833397577</v>
      </c>
      <c r="G1297" s="30">
        <f t="shared" si="199"/>
        <v>378599.33222286031</v>
      </c>
      <c r="H1297" s="30">
        <f t="shared" si="199"/>
        <v>376006.18611174484</v>
      </c>
    </row>
    <row r="1298" spans="2:8">
      <c r="B1298" s="152">
        <f t="shared" si="167"/>
        <v>0</v>
      </c>
      <c r="D1298" s="30">
        <f t="shared" ref="D1298:H1298" si="200">D368+D554+D926+D1112+D740</f>
        <v>103471.23513794334</v>
      </c>
      <c r="E1298" s="30">
        <f t="shared" si="200"/>
        <v>99903.261512497018</v>
      </c>
      <c r="F1298" s="30">
        <f t="shared" si="200"/>
        <v>96335.287887050697</v>
      </c>
      <c r="G1298" s="30">
        <f t="shared" si="200"/>
        <v>92767.314261604377</v>
      </c>
      <c r="H1298" s="30">
        <f t="shared" si="200"/>
        <v>89199.340636158056</v>
      </c>
    </row>
    <row r="1299" spans="2:8">
      <c r="B1299" s="152">
        <f t="shared" si="167"/>
        <v>0</v>
      </c>
      <c r="D1299" s="30">
        <f t="shared" ref="D1299:H1299" si="201">D369+D555+D927+D1113+D741</f>
        <v>10799.403097353668</v>
      </c>
      <c r="E1299" s="30">
        <f t="shared" si="201"/>
        <v>10231.013460650844</v>
      </c>
      <c r="F1299" s="30">
        <f t="shared" si="201"/>
        <v>9662.623823948019</v>
      </c>
      <c r="G1299" s="30">
        <f t="shared" si="201"/>
        <v>9094.2341872451943</v>
      </c>
      <c r="H1299" s="30">
        <f t="shared" si="201"/>
        <v>8525.8445505423697</v>
      </c>
    </row>
    <row r="1300" spans="2:8">
      <c r="B1300" s="152">
        <f t="shared" si="167"/>
        <v>0</v>
      </c>
      <c r="D1300" s="30">
        <f t="shared" ref="D1300:H1300" si="202">D370+D556+D928+D1114+D742</f>
        <v>47351.229554502068</v>
      </c>
      <c r="E1300" s="30">
        <f t="shared" si="202"/>
        <v>42089.981826224059</v>
      </c>
      <c r="F1300" s="30">
        <f t="shared" si="202"/>
        <v>36828.73409794605</v>
      </c>
      <c r="G1300" s="30">
        <f t="shared" si="202"/>
        <v>31567.48636966804</v>
      </c>
      <c r="H1300" s="30">
        <f t="shared" si="202"/>
        <v>26306.238641390035</v>
      </c>
    </row>
    <row r="1301" spans="2:8">
      <c r="B1301" s="152">
        <f t="shared" si="167"/>
        <v>0</v>
      </c>
      <c r="D1301" s="30">
        <f t="shared" ref="D1301:H1301" si="203">D371+D557+D929+D1115+D743</f>
        <v>5968.9423067838434</v>
      </c>
      <c r="E1301" s="30">
        <f t="shared" si="203"/>
        <v>5654.7874485320626</v>
      </c>
      <c r="F1301" s="30">
        <f t="shared" si="203"/>
        <v>5340.632590280281</v>
      </c>
      <c r="G1301" s="30">
        <f t="shared" si="203"/>
        <v>5026.4777320284993</v>
      </c>
      <c r="H1301" s="30">
        <f t="shared" si="203"/>
        <v>4712.3228737767186</v>
      </c>
    </row>
    <row r="1302" spans="2:8">
      <c r="B1302" s="152">
        <f t="shared" si="167"/>
        <v>0</v>
      </c>
      <c r="D1302" s="30">
        <f t="shared" ref="D1302:H1302" si="204">D372+D558+D930+D1116+D744</f>
        <v>30099.767825124185</v>
      </c>
      <c r="E1302" s="30">
        <f t="shared" si="204"/>
        <v>29061.844796671627</v>
      </c>
      <c r="F1302" s="30">
        <f t="shared" si="204"/>
        <v>28023.921768219068</v>
      </c>
      <c r="G1302" s="30">
        <f t="shared" si="204"/>
        <v>26985.99873976651</v>
      </c>
      <c r="H1302" s="30">
        <f t="shared" si="204"/>
        <v>25948.075711313952</v>
      </c>
    </row>
    <row r="1303" spans="2:8">
      <c r="B1303" s="152">
        <f t="shared" si="167"/>
        <v>0</v>
      </c>
      <c r="D1303" s="30">
        <f t="shared" ref="D1303:H1303" si="205">D373+D559+D931+D1117+D745</f>
        <v>27079.270940437233</v>
      </c>
      <c r="E1303" s="30">
        <f t="shared" si="205"/>
        <v>26145.502976973879</v>
      </c>
      <c r="F1303" s="30">
        <f t="shared" si="205"/>
        <v>25211.735013510526</v>
      </c>
      <c r="G1303" s="30">
        <f t="shared" si="205"/>
        <v>24277.967050047173</v>
      </c>
      <c r="H1303" s="30">
        <f t="shared" si="205"/>
        <v>23344.19908658382</v>
      </c>
    </row>
    <row r="1304" spans="2:8">
      <c r="B1304" s="152">
        <f t="shared" si="167"/>
        <v>0</v>
      </c>
      <c r="D1304" s="30">
        <f t="shared" ref="D1304:H1304" si="206">D374+D560+D932+D1118+D746</f>
        <v>5968.9370093890329</v>
      </c>
      <c r="E1304" s="30">
        <f t="shared" si="206"/>
        <v>5654.7824299475051</v>
      </c>
      <c r="F1304" s="30">
        <f t="shared" si="206"/>
        <v>5340.6278505059772</v>
      </c>
      <c r="G1304" s="30">
        <f t="shared" si="206"/>
        <v>5026.4732710644494</v>
      </c>
      <c r="H1304" s="30">
        <f t="shared" si="206"/>
        <v>4712.3186916229215</v>
      </c>
    </row>
    <row r="1305" spans="2:8">
      <c r="B1305" s="152">
        <f t="shared" si="167"/>
        <v>0</v>
      </c>
      <c r="D1305" s="30">
        <f t="shared" ref="D1305:H1305" si="207">D375+D561+D933+D1119+D747</f>
        <v>8949.9322069047957</v>
      </c>
      <c r="E1305" s="30">
        <f t="shared" si="207"/>
        <v>8478.8831433834912</v>
      </c>
      <c r="F1305" s="30">
        <f t="shared" si="207"/>
        <v>8007.8340798621857</v>
      </c>
      <c r="G1305" s="30">
        <f t="shared" si="207"/>
        <v>7536.7850163408802</v>
      </c>
      <c r="H1305" s="30">
        <f t="shared" si="207"/>
        <v>7065.7359528195757</v>
      </c>
    </row>
    <row r="1306" spans="2:8">
      <c r="B1306" s="152">
        <f t="shared" si="167"/>
        <v>0</v>
      </c>
      <c r="D1306" s="30">
        <f t="shared" ref="D1306:H1306" si="208">D376+D562+D934+D1120+D748</f>
        <v>566498.03709109151</v>
      </c>
      <c r="E1306" s="30">
        <f t="shared" si="208"/>
        <v>560775.83469623199</v>
      </c>
      <c r="F1306" s="30">
        <f t="shared" si="208"/>
        <v>555053.63230137248</v>
      </c>
      <c r="G1306" s="30">
        <f t="shared" si="208"/>
        <v>549331.42990651296</v>
      </c>
      <c r="H1306" s="30">
        <f t="shared" si="208"/>
        <v>543609.22751165344</v>
      </c>
    </row>
    <row r="1307" spans="2:8">
      <c r="B1307" s="152">
        <f t="shared" si="167"/>
        <v>0</v>
      </c>
      <c r="D1307" s="30">
        <f t="shared" ref="D1307:H1307" si="209">D377+D563+D935+D1121+D749</f>
        <v>100468.68401333925</v>
      </c>
      <c r="E1307" s="30">
        <f t="shared" si="209"/>
        <v>99453.848821285326</v>
      </c>
      <c r="F1307" s="30">
        <f t="shared" si="209"/>
        <v>98439.013629231398</v>
      </c>
      <c r="G1307" s="30">
        <f t="shared" si="209"/>
        <v>97424.17843717747</v>
      </c>
      <c r="H1307" s="30">
        <f t="shared" si="209"/>
        <v>96409.343245123542</v>
      </c>
    </row>
    <row r="1308" spans="2:8">
      <c r="B1308" s="152">
        <f t="shared" si="167"/>
        <v>0</v>
      </c>
      <c r="D1308" s="30">
        <f t="shared" ref="D1308:H1308" si="210">D378+D564+D936+D1122+D750</f>
        <v>130806.63459587346</v>
      </c>
      <c r="E1308" s="30">
        <f t="shared" si="210"/>
        <v>116272.56408522086</v>
      </c>
      <c r="F1308" s="30">
        <f t="shared" si="210"/>
        <v>101738.49357456825</v>
      </c>
      <c r="G1308" s="30">
        <f t="shared" si="210"/>
        <v>87204.423063915645</v>
      </c>
      <c r="H1308" s="30">
        <f t="shared" si="210"/>
        <v>72670.352553263045</v>
      </c>
    </row>
    <row r="1309" spans="2:8">
      <c r="B1309" s="152">
        <f t="shared" si="167"/>
        <v>0</v>
      </c>
      <c r="D1309" s="30">
        <f t="shared" ref="D1309:H1309" si="211">D379+D565+D937+D1123+D751</f>
        <v>629707.74313961307</v>
      </c>
      <c r="E1309" s="30">
        <f t="shared" si="211"/>
        <v>603469.92050879588</v>
      </c>
      <c r="F1309" s="30">
        <f t="shared" si="211"/>
        <v>577232.0978779787</v>
      </c>
      <c r="G1309" s="30">
        <f t="shared" si="211"/>
        <v>550994.27524716151</v>
      </c>
      <c r="H1309" s="30">
        <f t="shared" si="211"/>
        <v>524756.45261634432</v>
      </c>
    </row>
    <row r="1310" spans="2:8">
      <c r="B1310" s="152">
        <f t="shared" si="167"/>
        <v>0</v>
      </c>
      <c r="D1310" s="30">
        <f t="shared" ref="D1310:H1310" si="212">D380+D566+D938+D1124+D752</f>
        <v>477972.43</v>
      </c>
      <c r="E1310" s="30">
        <f t="shared" si="212"/>
        <v>474764.56134228187</v>
      </c>
      <c r="F1310" s="30">
        <f t="shared" si="212"/>
        <v>471556.69268456375</v>
      </c>
      <c r="G1310" s="30">
        <f t="shared" si="212"/>
        <v>468348.82402684563</v>
      </c>
      <c r="H1310" s="30">
        <f t="shared" si="212"/>
        <v>465140.95536912751</v>
      </c>
    </row>
    <row r="1311" spans="2:8">
      <c r="B1311" s="152">
        <f t="shared" si="167"/>
        <v>0</v>
      </c>
      <c r="D1311" s="30">
        <f t="shared" ref="D1311:H1311" si="213">D381+D567+D939+D1125+D753</f>
        <v>33272.871952976609</v>
      </c>
      <c r="E1311" s="30">
        <f t="shared" si="213"/>
        <v>32936.78233728998</v>
      </c>
      <c r="F1311" s="30">
        <f t="shared" si="213"/>
        <v>32600.692721603347</v>
      </c>
      <c r="G1311" s="30">
        <f t="shared" si="213"/>
        <v>32264.603105916714</v>
      </c>
      <c r="H1311" s="30">
        <f t="shared" si="213"/>
        <v>31928.513490230082</v>
      </c>
    </row>
    <row r="1312" spans="2:8">
      <c r="B1312" s="152">
        <f t="shared" si="167"/>
        <v>0</v>
      </c>
      <c r="D1312" s="30">
        <f t="shared" ref="D1312:H1312" si="214">D382+D568+D940+D1126+D754</f>
        <v>256285.79372662137</v>
      </c>
      <c r="E1312" s="30">
        <f t="shared" si="214"/>
        <v>253041.66975539832</v>
      </c>
      <c r="F1312" s="30">
        <f t="shared" si="214"/>
        <v>249797.54578417528</v>
      </c>
      <c r="G1312" s="30">
        <f t="shared" si="214"/>
        <v>246553.42181295223</v>
      </c>
      <c r="H1312" s="30">
        <f t="shared" si="214"/>
        <v>243309.29784172919</v>
      </c>
    </row>
    <row r="1313" spans="2:8">
      <c r="B1313" s="152">
        <f t="shared" si="167"/>
        <v>0</v>
      </c>
      <c r="D1313" s="30">
        <f t="shared" ref="D1313:H1313" si="215">D383+D569+D941+D1127+D755</f>
        <v>65908.294948478302</v>
      </c>
      <c r="E1313" s="30">
        <f t="shared" si="215"/>
        <v>64791.205203588841</v>
      </c>
      <c r="F1313" s="30">
        <f t="shared" si="215"/>
        <v>63674.11545869938</v>
      </c>
      <c r="G1313" s="30">
        <f t="shared" si="215"/>
        <v>62557.025713809919</v>
      </c>
      <c r="H1313" s="30">
        <f t="shared" si="215"/>
        <v>61439.935968920458</v>
      </c>
    </row>
    <row r="1314" spans="2:8">
      <c r="B1314" s="152">
        <f t="shared" si="167"/>
        <v>0</v>
      </c>
      <c r="D1314" s="30">
        <f t="shared" ref="D1314:H1314" si="216">D384+D570+D942+D1128+D756</f>
        <v>28977.912665076674</v>
      </c>
      <c r="E1314" s="30">
        <f t="shared" si="216"/>
        <v>27978.674297315411</v>
      </c>
      <c r="F1314" s="30">
        <f t="shared" si="216"/>
        <v>26979.435929554147</v>
      </c>
      <c r="G1314" s="30">
        <f t="shared" si="216"/>
        <v>25980.197561792884</v>
      </c>
      <c r="H1314" s="30">
        <f t="shared" si="216"/>
        <v>24980.95919403162</v>
      </c>
    </row>
    <row r="1315" spans="2:8">
      <c r="B1315" s="152">
        <f t="shared" si="167"/>
        <v>0</v>
      </c>
      <c r="D1315" s="30">
        <f t="shared" ref="D1315:H1315" si="217">D385+D571+D943+D1129+D757</f>
        <v>28977.912665076674</v>
      </c>
      <c r="E1315" s="30">
        <f t="shared" si="217"/>
        <v>27978.674297315411</v>
      </c>
      <c r="F1315" s="30">
        <f t="shared" si="217"/>
        <v>26979.435929554147</v>
      </c>
      <c r="G1315" s="30">
        <f t="shared" si="217"/>
        <v>25980.197561792884</v>
      </c>
      <c r="H1315" s="30">
        <f t="shared" si="217"/>
        <v>24980.95919403162</v>
      </c>
    </row>
    <row r="1316" spans="2:8">
      <c r="B1316" s="152">
        <f t="shared" si="167"/>
        <v>0</v>
      </c>
      <c r="D1316" s="30">
        <f t="shared" ref="D1316:H1316" si="218">D386+D572+D944+D1130+D758</f>
        <v>82939.368749999994</v>
      </c>
      <c r="E1316" s="30">
        <f t="shared" si="218"/>
        <v>81889.503322784803</v>
      </c>
      <c r="F1316" s="30">
        <f t="shared" si="218"/>
        <v>80839.637895569613</v>
      </c>
      <c r="G1316" s="30">
        <f t="shared" si="218"/>
        <v>79789.772468354422</v>
      </c>
      <c r="H1316" s="30">
        <f t="shared" si="218"/>
        <v>78739.907041139231</v>
      </c>
    </row>
    <row r="1317" spans="2:8">
      <c r="B1317" s="152">
        <f t="shared" si="167"/>
        <v>0</v>
      </c>
      <c r="D1317" s="30">
        <f t="shared" ref="D1317:H1317" si="219">D387+D573+D945+D1131+D759</f>
        <v>98584.169500000004</v>
      </c>
      <c r="E1317" s="30">
        <f t="shared" si="219"/>
        <v>87630.372888888887</v>
      </c>
      <c r="F1317" s="30">
        <f t="shared" si="219"/>
        <v>76676.576277777771</v>
      </c>
      <c r="G1317" s="30">
        <f t="shared" si="219"/>
        <v>65722.779666666655</v>
      </c>
      <c r="H1317" s="30">
        <f t="shared" si="219"/>
        <v>54768.983055555545</v>
      </c>
    </row>
    <row r="1318" spans="2:8">
      <c r="B1318" s="2" t="str">
        <f t="shared" si="167"/>
        <v>Carndo Year 4 Reduction</v>
      </c>
      <c r="D1318" s="30">
        <f t="shared" ref="D1318:H1318" si="220">D388+D574+D946+D1132+D760</f>
        <v>0</v>
      </c>
      <c r="E1318" s="30">
        <f t="shared" si="220"/>
        <v>0</v>
      </c>
      <c r="F1318" s="30">
        <f t="shared" si="220"/>
        <v>0</v>
      </c>
      <c r="G1318" s="30">
        <f t="shared" si="220"/>
        <v>-2050317.9922552318</v>
      </c>
      <c r="H1318" s="30">
        <f t="shared" si="220"/>
        <v>-1988348.8240171995</v>
      </c>
    </row>
    <row r="1319" spans="2:8">
      <c r="B1319" s="2" t="str">
        <f t="shared" si="167"/>
        <v>Carndo Year 5 Reduction</v>
      </c>
      <c r="D1319" s="30">
        <f t="shared" ref="D1319:H1319" si="221">D389+D575+D947+D1133+D761</f>
        <v>0</v>
      </c>
      <c r="E1319" s="30">
        <f t="shared" si="221"/>
        <v>0</v>
      </c>
      <c r="F1319" s="30">
        <f t="shared" si="221"/>
        <v>0</v>
      </c>
      <c r="G1319" s="30">
        <f t="shared" si="221"/>
        <v>0</v>
      </c>
      <c r="H1319" s="30">
        <f t="shared" si="221"/>
        <v>-3699186.4491531807</v>
      </c>
    </row>
    <row r="1320" spans="2:8" ht="15.75">
      <c r="B1320" s="10" t="s">
        <v>134</v>
      </c>
      <c r="D1320" s="48">
        <f>SUM(D1137:D1319)</f>
        <v>34183548.811695553</v>
      </c>
      <c r="E1320" s="48">
        <f>SUM(E1137:E1319)</f>
        <v>59858646.744307436</v>
      </c>
      <c r="F1320" s="48">
        <f>SUM(F1137:F1319)</f>
        <v>82322576.753921553</v>
      </c>
      <c r="G1320" s="48">
        <f>SUM(G1137:G1319)</f>
        <v>108590952.1634782</v>
      </c>
      <c r="H1320" s="48">
        <f>SUM(H1137:H1319)</f>
        <v>147397065.11464134</v>
      </c>
    </row>
  </sheetData>
  <pageMargins left="0" right="0" top="0" bottom="0" header="0" footer="0"/>
  <pageSetup paperSize="9" scale="75"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04105AA1-47FB-E949-9574-A64E6D95ECC1}">
            <xm:f>'2. Notes and Assumptions'!$D$92="ERROR"</xm:f>
            <x14:dxf>
              <font>
                <color theme="0"/>
              </font>
              <fill>
                <patternFill patternType="solid">
                  <fgColor indexed="64"/>
                  <bgColor rgb="FFFF0000"/>
                </patternFill>
              </fill>
            </x14:dxf>
          </x14:cfRule>
          <x14:cfRule type="expression" priority="2" id="{ED017B15-C9ED-9440-B6F4-170E6EEAEC96}">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sheetPr codeName="Sheet3"/>
  <dimension ref="A1:I96"/>
  <sheetViews>
    <sheetView zoomScaleNormal="100" workbookViewId="0">
      <pane ySplit="4" topLeftCell="A5" activePane="bottomLeft" state="frozen"/>
      <selection activeCell="A58" sqref="A58"/>
      <selection pane="bottomLeft" activeCell="B49" sqref="B49"/>
    </sheetView>
  </sheetViews>
  <sheetFormatPr defaultColWidth="10.6640625" defaultRowHeight="15"/>
  <cols>
    <col min="1" max="1" width="30.6640625" style="11" customWidth="1"/>
    <col min="2" max="2" width="34.33203125" style="2" customWidth="1"/>
    <col min="3" max="3" width="5.33203125" style="2" customWidth="1"/>
    <col min="4" max="4" width="12.33203125" style="2" customWidth="1"/>
    <col min="5" max="9" width="14.5546875" style="2" customWidth="1"/>
    <col min="10" max="16384" width="10.6640625" style="2"/>
  </cols>
  <sheetData>
    <row r="1" spans="1:9" s="6" customFormat="1" ht="18.75" customHeight="1">
      <c r="A1" s="92" t="s">
        <v>115</v>
      </c>
      <c r="B1" s="92"/>
      <c r="C1" s="92"/>
      <c r="D1" s="92"/>
      <c r="E1" s="92"/>
      <c r="F1" s="92"/>
      <c r="G1" s="92"/>
      <c r="H1" s="92"/>
    </row>
    <row r="2" spans="1:9" ht="18" customHeight="1">
      <c r="A2" s="3" t="str">
        <f ca="1">MID(CELL("filename",A1),FIND("]",CELL("filename",A1))+1,LEN(CELL("filename",A1))-FIND("]",CELL("filename",A1)))</f>
        <v>16. Water - MAR</v>
      </c>
      <c r="B2" s="3"/>
      <c r="C2" s="3"/>
      <c r="D2" s="3"/>
      <c r="E2" s="3"/>
      <c r="F2" s="3"/>
      <c r="G2" s="3"/>
      <c r="H2" s="3"/>
    </row>
    <row r="3" spans="1:9" s="6" customFormat="1">
      <c r="A3" s="11"/>
      <c r="B3" s="63"/>
      <c r="C3" s="64"/>
      <c r="D3" s="16" t="s">
        <v>0</v>
      </c>
      <c r="E3" s="17">
        <v>1</v>
      </c>
      <c r="F3" s="17">
        <v>2</v>
      </c>
      <c r="G3" s="17">
        <v>3</v>
      </c>
      <c r="H3" s="17">
        <v>4</v>
      </c>
      <c r="I3" s="17">
        <v>5</v>
      </c>
    </row>
    <row r="4" spans="1:9" s="6" customFormat="1">
      <c r="A4" s="11"/>
      <c r="B4" s="65"/>
      <c r="C4" s="66"/>
      <c r="D4" s="18" t="s">
        <v>1</v>
      </c>
      <c r="E4" s="19" t="s">
        <v>10</v>
      </c>
      <c r="F4" s="19" t="s">
        <v>11</v>
      </c>
      <c r="G4" s="19" t="s">
        <v>2</v>
      </c>
      <c r="H4" s="19" t="s">
        <v>3</v>
      </c>
      <c r="I4" s="19" t="s">
        <v>4</v>
      </c>
    </row>
    <row r="5" spans="1:9" ht="15.75">
      <c r="B5" s="10" t="s">
        <v>19</v>
      </c>
      <c r="C5" s="5"/>
    </row>
    <row r="6" spans="1:9">
      <c r="B6" s="2" t="s">
        <v>20</v>
      </c>
      <c r="C6" s="5"/>
      <c r="E6" s="67">
        <f ca="1">'3. General Model Inputs'!E8</f>
        <v>2.5000000000000001E-2</v>
      </c>
      <c r="F6" s="67">
        <f ca="1">'3. General Model Inputs'!F8</f>
        <v>2.5000000000000001E-2</v>
      </c>
      <c r="G6" s="67">
        <f ca="1">'3. General Model Inputs'!G8</f>
        <v>2.5000000000000001E-2</v>
      </c>
      <c r="H6" s="67">
        <f ca="1">'3. General Model Inputs'!H8</f>
        <v>2.5000000000000001E-2</v>
      </c>
      <c r="I6" s="67">
        <f ca="1">'3. General Model Inputs'!I8</f>
        <v>2.5000000000000001E-2</v>
      </c>
    </row>
    <row r="7" spans="1:9">
      <c r="B7" s="2" t="s">
        <v>21</v>
      </c>
      <c r="C7" s="5"/>
      <c r="E7" s="67">
        <f ca="1">'3. General Model Inputs'!E9</f>
        <v>7.1999999999999995E-2</v>
      </c>
      <c r="F7" s="67">
        <f ca="1">'3. General Model Inputs'!F9</f>
        <v>7.1999999999999995E-2</v>
      </c>
      <c r="G7" s="67">
        <f ca="1">'3. General Model Inputs'!G9</f>
        <v>7.1999999999999995E-2</v>
      </c>
      <c r="H7" s="67">
        <f ca="1">'3. General Model Inputs'!H9</f>
        <v>7.1999999999999995E-2</v>
      </c>
      <c r="I7" s="67">
        <f ca="1">'3. General Model Inputs'!I9</f>
        <v>7.1999999999999995E-2</v>
      </c>
    </row>
    <row r="8" spans="1:9">
      <c r="B8" s="2" t="s">
        <v>63</v>
      </c>
      <c r="C8" s="5"/>
      <c r="E8" s="71">
        <f ca="1">'3. General Model Inputs'!E11</f>
        <v>0.3</v>
      </c>
      <c r="F8" s="71">
        <f ca="1">'3. General Model Inputs'!F11</f>
        <v>0.3</v>
      </c>
      <c r="G8" s="71">
        <f ca="1">'3. General Model Inputs'!G11</f>
        <v>0.3</v>
      </c>
      <c r="H8" s="71">
        <f ca="1">'3. General Model Inputs'!H11</f>
        <v>0.3</v>
      </c>
      <c r="I8" s="71">
        <f ca="1">'3. General Model Inputs'!I11</f>
        <v>0.3</v>
      </c>
    </row>
    <row r="9" spans="1:9">
      <c r="B9" s="2" t="s">
        <v>23</v>
      </c>
      <c r="C9" s="5"/>
      <c r="E9" s="67">
        <f ca="1">'3. General Model Inputs'!E10</f>
        <v>6.4750000000000002E-2</v>
      </c>
      <c r="F9" s="67">
        <f ca="1">'3. General Model Inputs'!F10</f>
        <v>6.4750000000000002E-2</v>
      </c>
      <c r="G9" s="67">
        <f ca="1">'3. General Model Inputs'!G10</f>
        <v>6.4750000000000002E-2</v>
      </c>
      <c r="H9" s="67">
        <f ca="1">'3. General Model Inputs'!H10</f>
        <v>6.4750000000000002E-2</v>
      </c>
      <c r="I9" s="67">
        <f ca="1">'3. General Model Inputs'!I10</f>
        <v>6.4750000000000002E-2</v>
      </c>
    </row>
    <row r="10" spans="1:9">
      <c r="B10" s="2" t="s">
        <v>62</v>
      </c>
      <c r="C10" s="5"/>
      <c r="E10" s="71">
        <f ca="1">'3. General Model Inputs'!E12</f>
        <v>0.6</v>
      </c>
      <c r="F10" s="71">
        <f ca="1">'3. General Model Inputs'!F12</f>
        <v>0.6</v>
      </c>
      <c r="G10" s="71">
        <f ca="1">'3. General Model Inputs'!G12</f>
        <v>0.6</v>
      </c>
      <c r="H10" s="71">
        <f ca="1">'3. General Model Inputs'!H12</f>
        <v>0.6</v>
      </c>
      <c r="I10" s="71">
        <f ca="1">'3. General Model Inputs'!I12</f>
        <v>0.6</v>
      </c>
    </row>
    <row r="11" spans="1:9">
      <c r="B11" s="2" t="s">
        <v>64</v>
      </c>
      <c r="C11" s="5"/>
      <c r="E11" s="71">
        <f ca="1">'3. General Model Inputs'!E13</f>
        <v>0.5</v>
      </c>
      <c r="F11" s="71">
        <f ca="1">'3. General Model Inputs'!F13</f>
        <v>0.5</v>
      </c>
      <c r="G11" s="71">
        <f ca="1">'3. General Model Inputs'!G13</f>
        <v>0.5</v>
      </c>
      <c r="H11" s="71">
        <f ca="1">'3. General Model Inputs'!H13</f>
        <v>0.5</v>
      </c>
      <c r="I11" s="71">
        <f ca="1">'3. General Model Inputs'!I13</f>
        <v>0.5</v>
      </c>
    </row>
    <row r="12" spans="1:9">
      <c r="B12" s="2" t="s">
        <v>22</v>
      </c>
      <c r="C12" s="5"/>
      <c r="E12" s="45">
        <v>1</v>
      </c>
      <c r="F12" s="45">
        <f ca="1">E12/(1+F7)</f>
        <v>0.93283582089552231</v>
      </c>
      <c r="G12" s="45">
        <f ca="1">F12/(1+G7)</f>
        <v>0.87018266874582295</v>
      </c>
      <c r="H12" s="45">
        <f ca="1">G12/(1+H7)</f>
        <v>0.81173756412856612</v>
      </c>
      <c r="I12" s="45">
        <f ca="1">H12/(1+I7)</f>
        <v>0.75721787698560272</v>
      </c>
    </row>
    <row r="13" spans="1:9">
      <c r="C13" s="5"/>
    </row>
    <row r="14" spans="1:9">
      <c r="A14" s="11">
        <f>'2. Notes and Assumptions'!B72</f>
        <v>48</v>
      </c>
      <c r="B14" s="47" t="s">
        <v>107</v>
      </c>
      <c r="C14" s="103"/>
      <c r="D14" s="30"/>
      <c r="E14" s="30"/>
      <c r="F14" s="30"/>
      <c r="G14" s="30"/>
      <c r="H14" s="30"/>
      <c r="I14" s="30"/>
    </row>
    <row r="15" spans="1:9">
      <c r="C15" s="103"/>
      <c r="D15" s="30"/>
      <c r="E15" s="30"/>
      <c r="F15" s="30"/>
      <c r="G15" s="30"/>
      <c r="H15" s="30"/>
      <c r="I15" s="30"/>
    </row>
    <row r="16" spans="1:9" ht="15.75">
      <c r="B16" s="10" t="s">
        <v>15</v>
      </c>
      <c r="C16" s="5"/>
    </row>
    <row r="17" spans="2:9">
      <c r="B17" s="2" t="s">
        <v>16</v>
      </c>
      <c r="C17" s="103" t="s">
        <v>106</v>
      </c>
      <c r="D17" s="30"/>
      <c r="E17" s="30">
        <f>'12. Water - Existing Assets RAB'!D15+'13. Water - Capex RAB'!D16</f>
        <v>1387123436.4571838</v>
      </c>
      <c r="F17" s="30">
        <f ca="1">'12. Water - Existing Assets RAB'!E15+'13. Water - Capex RAB'!E16</f>
        <v>1427994164.3491204</v>
      </c>
      <c r="G17" s="30">
        <f ca="1">'12. Water - Existing Assets RAB'!F15+'13. Water - Capex RAB'!F16</f>
        <v>1463289262.1608496</v>
      </c>
      <c r="H17" s="30">
        <f ca="1">'12. Water - Existing Assets RAB'!G15+'13. Water - Capex RAB'!G16</f>
        <v>1499076449.6872194</v>
      </c>
      <c r="I17" s="30">
        <f ca="1">'12. Water - Existing Assets RAB'!H15+'13. Water - Capex RAB'!H16</f>
        <v>1543307563.3322561</v>
      </c>
    </row>
    <row r="18" spans="2:9">
      <c r="B18" s="2" t="s">
        <v>15</v>
      </c>
      <c r="C18" s="103" t="s">
        <v>106</v>
      </c>
      <c r="D18" s="30"/>
      <c r="E18" s="30">
        <f ca="1">E17*E$7</f>
        <v>99872887.424917236</v>
      </c>
      <c r="F18" s="30">
        <f t="shared" ref="F18:I18" ca="1" si="0">F17*F$7</f>
        <v>102815579.83313666</v>
      </c>
      <c r="G18" s="30">
        <f t="shared" ca="1" si="0"/>
        <v>105356826.87558116</v>
      </c>
      <c r="H18" s="30">
        <f t="shared" ca="1" si="0"/>
        <v>107933504.37747979</v>
      </c>
      <c r="I18" s="30">
        <f t="shared" ca="1" si="0"/>
        <v>111118144.55992243</v>
      </c>
    </row>
    <row r="19" spans="2:9">
      <c r="B19" s="2" t="s">
        <v>195</v>
      </c>
      <c r="C19" s="103" t="s">
        <v>106</v>
      </c>
      <c r="D19" s="30"/>
      <c r="E19" s="30">
        <f ca="1">-('12. Water - Existing Assets RAB'!D11+'13. Water - Capex RAB'!D12)</f>
        <v>-34678085.911429584</v>
      </c>
      <c r="F19" s="30">
        <f ca="1">-('12. Water - Existing Assets RAB'!E11+'13. Water - Capex RAB'!E12)</f>
        <v>-35699854.108728021</v>
      </c>
      <c r="G19" s="30">
        <f ca="1">-('12. Water - Existing Assets RAB'!F11+'13. Water - Capex RAB'!F12)</f>
        <v>-36582231.554021232</v>
      </c>
      <c r="H19" s="30">
        <f ca="1">-('12. Water - Existing Assets RAB'!G11+'13. Water - Capex RAB'!G12)</f>
        <v>-37476911.242180504</v>
      </c>
      <c r="I19" s="30">
        <f ca="1">-('12. Water - Existing Assets RAB'!H11+'13. Water - Capex RAB'!H12)</f>
        <v>-38582689.083306387</v>
      </c>
    </row>
    <row r="20" spans="2:9">
      <c r="B20" s="2" t="s">
        <v>28</v>
      </c>
      <c r="C20" s="103" t="s">
        <v>106</v>
      </c>
      <c r="D20" s="30">
        <f ca="1">SUMPRODUCT(E$12:I$12,E20:I20)</f>
        <v>-3505010.9749146514</v>
      </c>
      <c r="E20" s="30">
        <f ca="1">-E$11*E46</f>
        <v>-348093.1875812441</v>
      </c>
      <c r="F20" s="30">
        <f ca="1">-F$11*F46</f>
        <v>-442985.87953354639</v>
      </c>
      <c r="G20" s="30">
        <f ca="1">-G$11*G46</f>
        <v>-813315.07831810263</v>
      </c>
      <c r="H20" s="30">
        <f ca="1">-H$11*H46</f>
        <v>-1204103.1117823273</v>
      </c>
      <c r="I20" s="30">
        <f ca="1">-I$11*I46</f>
        <v>-1397928.2722003877</v>
      </c>
    </row>
    <row r="21" spans="2:9">
      <c r="B21" s="2" t="s">
        <v>17</v>
      </c>
      <c r="C21" s="103" t="s">
        <v>106</v>
      </c>
      <c r="D21" s="30"/>
      <c r="E21" s="48">
        <f ca="1">SUM(E18:E20)</f>
        <v>64846708.325906411</v>
      </c>
      <c r="F21" s="48">
        <f ca="1">SUM(F18:F20)</f>
        <v>66672739.844875097</v>
      </c>
      <c r="G21" s="48">
        <f ca="1">SUM(G18:G20)</f>
        <v>67961280.243241832</v>
      </c>
      <c r="H21" s="48">
        <f ca="1">SUM(H18:H20)</f>
        <v>69252490.023516968</v>
      </c>
      <c r="I21" s="48">
        <f ca="1">SUM(I18:I20)</f>
        <v>71137527.204415649</v>
      </c>
    </row>
    <row r="22" spans="2:9">
      <c r="C22" s="103"/>
      <c r="D22" s="30"/>
      <c r="E22" s="30"/>
      <c r="F22" s="30"/>
      <c r="G22" s="30"/>
      <c r="H22" s="30"/>
      <c r="I22" s="30"/>
    </row>
    <row r="23" spans="2:9" ht="15.75">
      <c r="B23" s="10" t="s">
        <v>29</v>
      </c>
      <c r="C23" s="103"/>
      <c r="D23" s="49" t="s">
        <v>65</v>
      </c>
      <c r="E23" s="30"/>
      <c r="F23" s="30"/>
      <c r="G23" s="30"/>
      <c r="H23" s="30"/>
      <c r="I23" s="30"/>
    </row>
    <row r="24" spans="2:9">
      <c r="B24" s="2" t="s">
        <v>15</v>
      </c>
      <c r="C24" s="103" t="s">
        <v>106</v>
      </c>
      <c r="D24" s="30">
        <f ca="1">SUMPRODUCT(E$12:I$12,E24:I24)</f>
        <v>296261611.42916167</v>
      </c>
      <c r="E24" s="30">
        <f ca="1">E21</f>
        <v>64846708.325906411</v>
      </c>
      <c r="F24" s="30">
        <f ca="1">F21</f>
        <v>66672739.844875097</v>
      </c>
      <c r="G24" s="30">
        <f ca="1">G21</f>
        <v>67961280.243241832</v>
      </c>
      <c r="H24" s="30">
        <f ca="1">H21</f>
        <v>69252490.023516968</v>
      </c>
      <c r="I24" s="30">
        <f ca="1">I21</f>
        <v>71137527.204415649</v>
      </c>
    </row>
    <row r="25" spans="2:9">
      <c r="B25" s="2" t="s">
        <v>30</v>
      </c>
      <c r="C25" s="103" t="s">
        <v>106</v>
      </c>
      <c r="D25" s="30">
        <f t="shared" ref="D25:D27" ca="1" si="1">SUMPRODUCT(E$12:I$12,E25:I25)</f>
        <v>-66213781.730392031</v>
      </c>
      <c r="E25" s="30">
        <f>'3. General Model Inputs'!E80</f>
        <v>-14454573.489899399</v>
      </c>
      <c r="F25" s="30">
        <f>'3. General Model Inputs'!F80</f>
        <v>-14816669.18</v>
      </c>
      <c r="G25" s="30">
        <f>'3. General Model Inputs'!G80</f>
        <v>-15187861.782024</v>
      </c>
      <c r="H25" s="30">
        <f>'3. General Model Inputs'!H80</f>
        <v>-15568381.431086101</v>
      </c>
      <c r="I25" s="30">
        <f>'3. General Model Inputs'!I80</f>
        <v>-15958464.177861901</v>
      </c>
    </row>
    <row r="26" spans="2:9">
      <c r="B26" s="2" t="s">
        <v>457</v>
      </c>
      <c r="C26" s="103" t="s">
        <v>106</v>
      </c>
      <c r="D26" s="30">
        <f t="shared" ca="1" si="1"/>
        <v>-7502125.8523419909</v>
      </c>
      <c r="E26" s="30">
        <f>'8. Discovery Trail CSO'!E46+'9. Gas Abatement CSO'!E46</f>
        <v>-1763350.1956427591</v>
      </c>
      <c r="F26" s="30">
        <f>'8. Discovery Trail CSO'!F46+'9. Gas Abatement CSO'!F46</f>
        <v>-1741679.4230026817</v>
      </c>
      <c r="G26" s="30">
        <f>'8. Discovery Trail CSO'!G46+'9. Gas Abatement CSO'!G46</f>
        <v>-1714765.5632382103</v>
      </c>
      <c r="H26" s="30">
        <f>'8. Discovery Trail CSO'!H46+'9. Gas Abatement CSO'!H46</f>
        <v>-1685967.2779258408</v>
      </c>
      <c r="I26" s="30">
        <f>'8. Discovery Trail CSO'!I46+'9. Gas Abatement CSO'!I46</f>
        <v>-1655207.1669505311</v>
      </c>
    </row>
    <row r="27" spans="2:9">
      <c r="B27" s="2" t="s">
        <v>13</v>
      </c>
      <c r="C27" s="103" t="s">
        <v>106</v>
      </c>
      <c r="D27" s="30">
        <f t="shared" ca="1" si="1"/>
        <v>119177490.50931534</v>
      </c>
      <c r="E27" s="30">
        <f ca="1">-('12. Water - Existing Assets RAB'!D12+'13. Water - Capex RAB'!D13)</f>
        <v>24625972.783658385</v>
      </c>
      <c r="F27" s="30">
        <f ca="1">-('12. Water - Existing Assets RAB'!E12+'13. Water - Capex RAB'!E13)</f>
        <v>26121965.490602214</v>
      </c>
      <c r="G27" s="30">
        <f ca="1">-('12. Water - Existing Assets RAB'!F12+'13. Water - Capex RAB'!F13)</f>
        <v>27449399.092992377</v>
      </c>
      <c r="H27" s="30">
        <f ca="1">-('12. Water - Existing Assets RAB'!G12+'13. Water - Capex RAB'!G13)</f>
        <v>28774289.228387922</v>
      </c>
      <c r="I27" s="30">
        <f ca="1">-('12. Water - Existing Assets RAB'!H12+'13. Water - Capex RAB'!H13)</f>
        <v>30296233.746038444</v>
      </c>
    </row>
    <row r="28" spans="2:9">
      <c r="B28" s="2" t="s">
        <v>31</v>
      </c>
      <c r="C28" s="103" t="s">
        <v>106</v>
      </c>
      <c r="D28" s="30">
        <f ca="1">SUMPRODUCT(E$12:I$12,E28:I28)</f>
        <v>429927747.06334317</v>
      </c>
      <c r="E28" s="30">
        <f ca="1">'3. General Model Inputs'!E71</f>
        <v>91865143.626896158</v>
      </c>
      <c r="F28" s="30">
        <f ca="1">'3. General Model Inputs'!F71</f>
        <v>97921520.295006752</v>
      </c>
      <c r="G28" s="30">
        <f ca="1">'3. General Model Inputs'!G71</f>
        <v>99231474.121077746</v>
      </c>
      <c r="H28" s="30">
        <f ca="1">'3. General Model Inputs'!H71</f>
        <v>100835310.51975784</v>
      </c>
      <c r="I28" s="30">
        <f ca="1">'3. General Model Inputs'!I71</f>
        <v>103690873.84408444</v>
      </c>
    </row>
    <row r="29" spans="2:9">
      <c r="B29" s="2" t="s">
        <v>32</v>
      </c>
      <c r="C29" s="103" t="s">
        <v>106</v>
      </c>
      <c r="D29" s="30">
        <f ca="1">SUMPRODUCT(E$12:I$12,E29:I29)</f>
        <v>7010021.9498293027</v>
      </c>
      <c r="E29" s="30">
        <f ca="1">E46</f>
        <v>696186.3751624882</v>
      </c>
      <c r="F29" s="30">
        <f ca="1">F46</f>
        <v>885971.75906709279</v>
      </c>
      <c r="G29" s="30">
        <f ca="1">G46</f>
        <v>1626630.1566362053</v>
      </c>
      <c r="H29" s="30">
        <f ca="1">H46</f>
        <v>2408206.2235646546</v>
      </c>
      <c r="I29" s="30">
        <f ca="1">I46</f>
        <v>2795856.5444007753</v>
      </c>
    </row>
    <row r="30" spans="2:9">
      <c r="C30" s="103"/>
      <c r="D30" s="48">
        <f ca="1">SUMPRODUCT(E$12:I$12,E30:I30)</f>
        <v>778660963.36891556</v>
      </c>
      <c r="E30" s="48">
        <f ca="1">SUM(E24:E29)</f>
        <v>165816087.4260813</v>
      </c>
      <c r="F30" s="48">
        <f ca="1">SUM(F24:F29)</f>
        <v>175043848.78654847</v>
      </c>
      <c r="G30" s="48">
        <f ca="1">SUM(G24:G29)</f>
        <v>179366156.26868597</v>
      </c>
      <c r="H30" s="48">
        <f ca="1">SUM(H24:H29)</f>
        <v>184015947.28621545</v>
      </c>
      <c r="I30" s="48">
        <f ca="1">SUM(I24:I29)</f>
        <v>190306819.99412689</v>
      </c>
    </row>
    <row r="31" spans="2:9">
      <c r="C31" s="103"/>
      <c r="D31" s="30"/>
      <c r="E31" s="30"/>
      <c r="F31" s="30"/>
      <c r="G31" s="30"/>
      <c r="H31" s="30"/>
      <c r="I31" s="30"/>
    </row>
    <row r="32" spans="2:9" ht="15.75">
      <c r="B32" s="10" t="s">
        <v>66</v>
      </c>
      <c r="C32" s="103"/>
      <c r="D32" s="30">
        <f ca="1">SUMPRODUCT(E$12:I$12,E32:I32)</f>
        <v>778660963.36891532</v>
      </c>
      <c r="E32" s="30">
        <f ca="1">'17. Water - Price Setting'!E38</f>
        <v>165122282.44940343</v>
      </c>
      <c r="F32" s="30">
        <f ca="1">'17. Water - Price Setting'!F38</f>
        <v>173895880.74978077</v>
      </c>
      <c r="G32" s="30">
        <f ca="1">'17. Water - Price Setting'!G38</f>
        <v>179332653.91258055</v>
      </c>
      <c r="H32" s="30">
        <f ca="1">'17. Water - Price Setting'!H38</f>
        <v>185174634.657022</v>
      </c>
      <c r="I32" s="30">
        <f ca="1">'17. Water - Price Setting'!I38</f>
        <v>191433673.72306222</v>
      </c>
    </row>
    <row r="33" spans="1:9">
      <c r="C33" s="103"/>
      <c r="D33" s="30"/>
      <c r="E33" s="30"/>
      <c r="F33" s="30"/>
      <c r="G33" s="30"/>
      <c r="H33" s="30"/>
      <c r="I33" s="30"/>
    </row>
    <row r="34" spans="1:9" ht="15.75">
      <c r="B34" s="10" t="s">
        <v>34</v>
      </c>
      <c r="C34" s="103"/>
      <c r="D34" s="30"/>
      <c r="E34" s="30"/>
      <c r="F34" s="30"/>
      <c r="G34" s="30"/>
      <c r="H34" s="30"/>
      <c r="I34" s="30"/>
    </row>
    <row r="35" spans="1:9">
      <c r="B35" s="2" t="s">
        <v>35</v>
      </c>
      <c r="C35" s="103"/>
      <c r="D35" s="30"/>
      <c r="E35" s="30">
        <f ca="1">E32</f>
        <v>165122282.44940343</v>
      </c>
      <c r="F35" s="30">
        <f ca="1">F32</f>
        <v>173895880.74978077</v>
      </c>
      <c r="G35" s="30">
        <f ca="1">G32</f>
        <v>179332653.91258055</v>
      </c>
      <c r="H35" s="30">
        <f ca="1">H32</f>
        <v>185174634.657022</v>
      </c>
      <c r="I35" s="30">
        <f ca="1">I32</f>
        <v>191433673.72306222</v>
      </c>
    </row>
    <row r="36" spans="1:9">
      <c r="B36" s="2" t="s">
        <v>36</v>
      </c>
      <c r="C36" s="103"/>
      <c r="D36" s="30"/>
      <c r="E36" s="30">
        <f>-E25</f>
        <v>14454573.489899399</v>
      </c>
      <c r="F36" s="30">
        <f>-F25</f>
        <v>14816669.18</v>
      </c>
      <c r="G36" s="30">
        <f>-G25</f>
        <v>15187861.782024</v>
      </c>
      <c r="H36" s="30">
        <f>-H25</f>
        <v>15568381.431086101</v>
      </c>
      <c r="I36" s="30">
        <f>-I25</f>
        <v>15958464.177861901</v>
      </c>
    </row>
    <row r="37" spans="1:9">
      <c r="B37" s="2" t="s">
        <v>40</v>
      </c>
      <c r="C37" s="103"/>
      <c r="D37" s="30"/>
      <c r="E37" s="30">
        <f>'14.Water-Existing Assets Tax BV'!D13+'15. Water - Capex Tax BV'!D13</f>
        <v>-31501345.555503443</v>
      </c>
      <c r="F37" s="30">
        <f>'14.Water-Existing Assets Tax BV'!E13+'15. Water - Capex Tax BV'!E13</f>
        <v>-32360217.152920388</v>
      </c>
      <c r="G37" s="30">
        <f>'14.Water-Existing Assets Tax BV'!F13+'15. Water - Capex Tax BV'!F13</f>
        <v>-33018153.216457084</v>
      </c>
      <c r="H37" s="30">
        <f>'14.Water-Existing Assets Tax BV'!G13+'15. Water - Capex Tax BV'!G13</f>
        <v>-33641231.419452921</v>
      </c>
      <c r="I37" s="30">
        <f>'14.Water-Existing Assets Tax BV'!H13+'15. Water - Capex Tax BV'!H13</f>
        <v>-34424243.406712271</v>
      </c>
    </row>
    <row r="38" spans="1:9">
      <c r="B38" s="2" t="s">
        <v>41</v>
      </c>
      <c r="C38" s="103"/>
      <c r="D38" s="30"/>
      <c r="E38" s="30">
        <f ca="1">-E17*E10*E9</f>
        <v>-53889745.506361589</v>
      </c>
      <c r="F38" s="30">
        <f ca="1">-F17*F10*F9</f>
        <v>-55477573.284963325</v>
      </c>
      <c r="G38" s="30">
        <f ca="1">-G17*G10*G9</f>
        <v>-56848787.834949009</v>
      </c>
      <c r="H38" s="30">
        <f ca="1">-H17*H10*H9</f>
        <v>-58239120.070348471</v>
      </c>
      <c r="I38" s="30">
        <f ca="1">-I17*I10*I9</f>
        <v>-59957498.835458152</v>
      </c>
    </row>
    <row r="39" spans="1:9">
      <c r="B39" s="2" t="s">
        <v>42</v>
      </c>
      <c r="C39" s="103"/>
      <c r="D39" s="30"/>
      <c r="E39" s="30">
        <f ca="1">-E28</f>
        <v>-91865143.626896158</v>
      </c>
      <c r="F39" s="30">
        <f ca="1">-F28</f>
        <v>-97921520.295006752</v>
      </c>
      <c r="G39" s="30">
        <f ca="1">-G28</f>
        <v>-99231474.121077746</v>
      </c>
      <c r="H39" s="30">
        <f ca="1">-H28</f>
        <v>-100835310.51975784</v>
      </c>
      <c r="I39" s="30">
        <f ca="1">-I28</f>
        <v>-103690873.84408444</v>
      </c>
    </row>
    <row r="40" spans="1:9">
      <c r="B40" s="2" t="s">
        <v>43</v>
      </c>
      <c r="C40" s="103"/>
      <c r="D40" s="30"/>
      <c r="E40" s="30">
        <f t="shared" ref="E40" si="2">IF(E43=0,0,IF(SUM(E35:E39)&lt;0,0,IF(SUM(E35:E39)&lt;E43,-SUM(E35:E39),-E43)))</f>
        <v>0</v>
      </c>
      <c r="F40" s="30">
        <f ca="1">IF(F43=0,0,IF(SUM(F35:F39)&lt;0,0,IF(SUM(F35:F39)&lt;F43,-SUM(F35:F39),-F43)))</f>
        <v>0</v>
      </c>
      <c r="G40" s="30">
        <f ca="1">IF(G43=0,0,IF(SUM(G35:G39)&lt;0,0,IF(SUM(G35:G39)&lt;G43,-SUM(G35:G39),-G43)))</f>
        <v>0</v>
      </c>
      <c r="H40" s="30">
        <f ca="1">IF(H43=0,0,IF(SUM(H35:H39)&lt;0,0,IF(SUM(H35:H39)&lt;H43,-SUM(H35:H39),-H43)))</f>
        <v>0</v>
      </c>
      <c r="I40" s="30">
        <f ca="1">IF(I43=0,0,IF(SUM(I35:I39)&lt;0,0,IF(SUM(I35:I39)&lt;I43,-SUM(I35:I39),-I43)))</f>
        <v>0</v>
      </c>
    </row>
    <row r="41" spans="1:9">
      <c r="B41" s="2" t="s">
        <v>37</v>
      </c>
      <c r="C41" s="103"/>
      <c r="D41" s="30"/>
      <c r="E41" s="30">
        <f ca="1">SUM(E35:E40)</f>
        <v>2320621.2505416274</v>
      </c>
      <c r="F41" s="30">
        <f ca="1">SUM(F35:F40)</f>
        <v>2953239.1968903095</v>
      </c>
      <c r="G41" s="30">
        <f ca="1">SUM(G34:G40)</f>
        <v>5422100.5221206844</v>
      </c>
      <c r="H41" s="30">
        <f ca="1">SUM(H35:H40)</f>
        <v>8027354.0785488486</v>
      </c>
      <c r="I41" s="30">
        <f ca="1">SUM(I35:I40)</f>
        <v>9319521.8146692514</v>
      </c>
    </row>
    <row r="42" spans="1:9">
      <c r="C42" s="103"/>
      <c r="D42" s="30"/>
      <c r="E42" s="30"/>
      <c r="F42" s="30"/>
      <c r="G42" s="30"/>
      <c r="H42" s="30"/>
      <c r="I42" s="30"/>
    </row>
    <row r="43" spans="1:9">
      <c r="B43" s="2" t="s">
        <v>38</v>
      </c>
      <c r="C43" s="103"/>
      <c r="D43" s="30"/>
      <c r="E43" s="30">
        <f>'3. General Model Inputs'!$E$56</f>
        <v>0</v>
      </c>
      <c r="F43" s="30">
        <f ca="1">E44</f>
        <v>0</v>
      </c>
      <c r="G43" s="30">
        <f ca="1">F44</f>
        <v>0</v>
      </c>
      <c r="H43" s="30">
        <f ca="1">G44</f>
        <v>0</v>
      </c>
      <c r="I43" s="30">
        <f ca="1">H44</f>
        <v>0</v>
      </c>
    </row>
    <row r="44" spans="1:9">
      <c r="B44" s="2" t="s">
        <v>39</v>
      </c>
      <c r="C44" s="103"/>
      <c r="D44" s="30"/>
      <c r="E44" s="30">
        <f ca="1">IF((E43+E40-E41)&gt;0,E43+E40-E41,0)</f>
        <v>0</v>
      </c>
      <c r="F44" s="30">
        <f ca="1">IF((F43+F40-F41)&gt;0,F43+F40-F41,0)</f>
        <v>0</v>
      </c>
      <c r="G44" s="30">
        <f ca="1">IF((G43+G40-G41)&gt;0,G43+G40-G41,0)</f>
        <v>0</v>
      </c>
      <c r="H44" s="30">
        <f ca="1">IF((H43+H40-H41)&gt;0,H43+H40-H41,0)</f>
        <v>0</v>
      </c>
      <c r="I44" s="30">
        <f ca="1">IF((I43+I40-I41)&gt;0,I43+I40-I41,0)</f>
        <v>0</v>
      </c>
    </row>
    <row r="45" spans="1:9">
      <c r="C45" s="103"/>
      <c r="D45" s="30"/>
      <c r="E45" s="30"/>
      <c r="F45" s="30"/>
      <c r="G45" s="30"/>
      <c r="H45" s="30"/>
      <c r="I45" s="30"/>
    </row>
    <row r="46" spans="1:9">
      <c r="B46" s="2" t="s">
        <v>32</v>
      </c>
      <c r="C46" s="103"/>
      <c r="D46" s="30"/>
      <c r="E46" s="30">
        <f ca="1">IF(E41&lt;0,0,E41*E$8)</f>
        <v>696186.3751624882</v>
      </c>
      <c r="F46" s="30">
        <f ca="1">IF(F41&lt;0,0,F41*F$8)</f>
        <v>885971.75906709279</v>
      </c>
      <c r="G46" s="30">
        <f ca="1">IF(G41&lt;0,0,G41*G$8)</f>
        <v>1626630.1566362053</v>
      </c>
      <c r="H46" s="30">
        <f ca="1">IF(H41&lt;0,0,H41*H$8)</f>
        <v>2408206.2235646546</v>
      </c>
      <c r="I46" s="30">
        <f ca="1">IF(I41&lt;0,0,I41*I$8)</f>
        <v>2795856.5444007753</v>
      </c>
    </row>
    <row r="47" spans="1:9">
      <c r="C47" s="103"/>
      <c r="D47" s="30"/>
      <c r="E47" s="30"/>
      <c r="F47" s="30"/>
      <c r="G47" s="30"/>
      <c r="H47" s="30"/>
      <c r="I47" s="30"/>
    </row>
    <row r="48" spans="1:9">
      <c r="A48" s="11">
        <f>'2. Notes and Assumptions'!B73</f>
        <v>49</v>
      </c>
      <c r="B48" s="47" t="s">
        <v>108</v>
      </c>
      <c r="C48" s="5"/>
    </row>
    <row r="49" spans="2:9">
      <c r="C49" s="5"/>
    </row>
    <row r="50" spans="2:9" ht="15.75">
      <c r="B50" s="10" t="s">
        <v>15</v>
      </c>
      <c r="C50" s="5"/>
    </row>
    <row r="51" spans="2:9">
      <c r="B51" s="2" t="s">
        <v>16</v>
      </c>
      <c r="C51" s="103" t="s">
        <v>106</v>
      </c>
      <c r="D51" s="30"/>
      <c r="E51" s="30">
        <f>E17</f>
        <v>1387123436.4571838</v>
      </c>
      <c r="F51" s="30">
        <f ca="1">F17</f>
        <v>1427994164.3491204</v>
      </c>
      <c r="G51" s="30">
        <f ca="1">G17</f>
        <v>1463289262.1608496</v>
      </c>
      <c r="H51" s="30">
        <f ca="1">H17</f>
        <v>1499076449.6872194</v>
      </c>
      <c r="I51" s="30">
        <f ca="1">I17</f>
        <v>1543307563.3322561</v>
      </c>
    </row>
    <row r="52" spans="2:9">
      <c r="B52" s="2" t="s">
        <v>15</v>
      </c>
      <c r="C52" s="103" t="s">
        <v>106</v>
      </c>
      <c r="D52" s="30"/>
      <c r="E52" s="30">
        <f ca="1">E51*E$7</f>
        <v>99872887.424917236</v>
      </c>
      <c r="F52" s="30">
        <f t="shared" ref="F52:I52" ca="1" si="3">F51*F$7</f>
        <v>102815579.83313666</v>
      </c>
      <c r="G52" s="30">
        <f t="shared" ca="1" si="3"/>
        <v>105356826.87558116</v>
      </c>
      <c r="H52" s="30">
        <f t="shared" ca="1" si="3"/>
        <v>107933504.37747979</v>
      </c>
      <c r="I52" s="30">
        <f t="shared" ca="1" si="3"/>
        <v>111118144.55992243</v>
      </c>
    </row>
    <row r="53" spans="2:9">
      <c r="B53" s="2" t="s">
        <v>195</v>
      </c>
      <c r="C53" s="103" t="s">
        <v>106</v>
      </c>
      <c r="D53" s="30"/>
      <c r="E53" s="30">
        <f ca="1">E19</f>
        <v>-34678085.911429584</v>
      </c>
      <c r="F53" s="30">
        <f ca="1">F19</f>
        <v>-35699854.108728021</v>
      </c>
      <c r="G53" s="30">
        <f ca="1">G19</f>
        <v>-36582231.554021232</v>
      </c>
      <c r="H53" s="30">
        <f ca="1">H19</f>
        <v>-37476911.242180504</v>
      </c>
      <c r="I53" s="30">
        <f ca="1">I19</f>
        <v>-38582689.083306387</v>
      </c>
    </row>
    <row r="54" spans="2:9">
      <c r="B54" s="2" t="s">
        <v>28</v>
      </c>
      <c r="C54" s="103" t="s">
        <v>106</v>
      </c>
      <c r="D54" s="30">
        <f ca="1">SUMPRODUCT(E$12:I$12,E54:I54)</f>
        <v>-3505010.9749146816</v>
      </c>
      <c r="E54" s="30">
        <f ca="1">-E$11*E80</f>
        <v>-899652.46079484525</v>
      </c>
      <c r="F54" s="30">
        <f ca="1">-F$11*F80</f>
        <v>-1324984.3838642142</v>
      </c>
      <c r="G54" s="30">
        <f ca="1">-G$11*G80</f>
        <v>-359697.45613393933</v>
      </c>
      <c r="H54" s="30">
        <f ca="1">-H$11*H80</f>
        <v>-589767.45867498813</v>
      </c>
      <c r="I54" s="30">
        <f ca="1">-I$11*I80</f>
        <v>-762827.64004032162</v>
      </c>
    </row>
    <row r="55" spans="2:9">
      <c r="B55" s="2" t="s">
        <v>17</v>
      </c>
      <c r="C55" s="103" t="s">
        <v>106</v>
      </c>
      <c r="D55" s="30"/>
      <c r="E55" s="48">
        <f ca="1">SUM(E52:E54)</f>
        <v>64295149.052692808</v>
      </c>
      <c r="F55" s="48">
        <f ca="1">SUM(F52:F54)</f>
        <v>65790741.340544425</v>
      </c>
      <c r="G55" s="48">
        <f ca="1">SUM(G52:G54)</f>
        <v>68414897.865426004</v>
      </c>
      <c r="H55" s="48">
        <f ca="1">SUM(H52:H54)</f>
        <v>69866825.676624313</v>
      </c>
      <c r="I55" s="48">
        <f ca="1">SUM(I52:I54)</f>
        <v>71772627.836575717</v>
      </c>
    </row>
    <row r="56" spans="2:9">
      <c r="C56" s="103"/>
      <c r="D56" s="30"/>
      <c r="E56" s="30"/>
      <c r="F56" s="30"/>
      <c r="G56" s="30"/>
      <c r="H56" s="30"/>
      <c r="I56" s="30"/>
    </row>
    <row r="57" spans="2:9" ht="15.75">
      <c r="B57" s="10" t="s">
        <v>29</v>
      </c>
      <c r="C57" s="103"/>
      <c r="D57" s="49" t="s">
        <v>65</v>
      </c>
      <c r="E57" s="30"/>
      <c r="F57" s="30"/>
      <c r="G57" s="30"/>
      <c r="H57" s="30"/>
      <c r="I57" s="30"/>
    </row>
    <row r="58" spans="2:9">
      <c r="B58" s="2" t="s">
        <v>15</v>
      </c>
      <c r="C58" s="103" t="s">
        <v>106</v>
      </c>
      <c r="D58" s="30">
        <f ca="1">SUMPRODUCT(E$12:I$12,E58:I58)</f>
        <v>296261611.42916167</v>
      </c>
      <c r="E58" s="30">
        <f ca="1">E55</f>
        <v>64295149.052692808</v>
      </c>
      <c r="F58" s="30">
        <f t="shared" ref="F58:I58" ca="1" si="4">F55</f>
        <v>65790741.340544425</v>
      </c>
      <c r="G58" s="30">
        <f t="shared" ca="1" si="4"/>
        <v>68414897.865426004</v>
      </c>
      <c r="H58" s="30">
        <f t="shared" ca="1" si="4"/>
        <v>69866825.676624313</v>
      </c>
      <c r="I58" s="30">
        <f t="shared" ca="1" si="4"/>
        <v>71772627.836575717</v>
      </c>
    </row>
    <row r="59" spans="2:9">
      <c r="B59" s="2" t="s">
        <v>30</v>
      </c>
      <c r="C59" s="103" t="s">
        <v>106</v>
      </c>
      <c r="D59" s="30">
        <f t="shared" ref="D59:D61" ca="1" si="5">SUMPRODUCT(E$12:I$12,E59:I59)</f>
        <v>-66213781.730392031</v>
      </c>
      <c r="E59" s="30">
        <f t="shared" ref="E59:I61" si="6">E25</f>
        <v>-14454573.489899399</v>
      </c>
      <c r="F59" s="30">
        <f t="shared" si="6"/>
        <v>-14816669.18</v>
      </c>
      <c r="G59" s="30">
        <f t="shared" si="6"/>
        <v>-15187861.782024</v>
      </c>
      <c r="H59" s="30">
        <f t="shared" si="6"/>
        <v>-15568381.431086101</v>
      </c>
      <c r="I59" s="30">
        <f t="shared" si="6"/>
        <v>-15958464.177861901</v>
      </c>
    </row>
    <row r="60" spans="2:9">
      <c r="B60" s="2" t="s">
        <v>457</v>
      </c>
      <c r="C60" s="103" t="s">
        <v>106</v>
      </c>
      <c r="D60" s="30">
        <f t="shared" ca="1" si="5"/>
        <v>-7502125.8523419909</v>
      </c>
      <c r="E60" s="30">
        <f t="shared" si="6"/>
        <v>-1763350.1956427591</v>
      </c>
      <c r="F60" s="30">
        <f t="shared" si="6"/>
        <v>-1741679.4230026817</v>
      </c>
      <c r="G60" s="30">
        <f t="shared" si="6"/>
        <v>-1714765.5632382103</v>
      </c>
      <c r="H60" s="30">
        <f t="shared" si="6"/>
        <v>-1685967.2779258408</v>
      </c>
      <c r="I60" s="30">
        <f t="shared" si="6"/>
        <v>-1655207.1669505311</v>
      </c>
    </row>
    <row r="61" spans="2:9">
      <c r="B61" s="2" t="s">
        <v>13</v>
      </c>
      <c r="C61" s="103" t="s">
        <v>106</v>
      </c>
      <c r="D61" s="30">
        <f t="shared" ca="1" si="5"/>
        <v>119177490.50931534</v>
      </c>
      <c r="E61" s="30">
        <f t="shared" ca="1" si="6"/>
        <v>24625972.783658385</v>
      </c>
      <c r="F61" s="30">
        <f t="shared" ca="1" si="6"/>
        <v>26121965.490602214</v>
      </c>
      <c r="G61" s="30">
        <f t="shared" ca="1" si="6"/>
        <v>27449399.092992377</v>
      </c>
      <c r="H61" s="30">
        <f t="shared" ca="1" si="6"/>
        <v>28774289.228387922</v>
      </c>
      <c r="I61" s="30">
        <f t="shared" ca="1" si="6"/>
        <v>30296233.746038444</v>
      </c>
    </row>
    <row r="62" spans="2:9">
      <c r="B62" s="2" t="s">
        <v>31</v>
      </c>
      <c r="C62" s="103" t="s">
        <v>106</v>
      </c>
      <c r="D62" s="30">
        <f ca="1">SUMPRODUCT(E$12:I$12,E62:I62)</f>
        <v>429927747.06334317</v>
      </c>
      <c r="E62" s="30">
        <f ca="1">E28</f>
        <v>91865143.626896158</v>
      </c>
      <c r="F62" s="30">
        <f ca="1">F28</f>
        <v>97921520.295006752</v>
      </c>
      <c r="G62" s="30">
        <f ca="1">G28</f>
        <v>99231474.121077746</v>
      </c>
      <c r="H62" s="30">
        <f ca="1">H28</f>
        <v>100835310.51975784</v>
      </c>
      <c r="I62" s="30">
        <f ca="1">I28</f>
        <v>103690873.84408444</v>
      </c>
    </row>
    <row r="63" spans="2:9">
      <c r="B63" s="2" t="s">
        <v>32</v>
      </c>
      <c r="C63" s="103" t="s">
        <v>106</v>
      </c>
      <c r="D63" s="30">
        <f ca="1">SUMPRODUCT(E$12:I$12,E63:I63)</f>
        <v>7010021.9498293633</v>
      </c>
      <c r="E63" s="30">
        <f ca="1">E80</f>
        <v>1799304.9215896905</v>
      </c>
      <c r="F63" s="30">
        <f ca="1">F80</f>
        <v>2649968.7677284284</v>
      </c>
      <c r="G63" s="30">
        <f ca="1">G80</f>
        <v>719394.91226787865</v>
      </c>
      <c r="H63" s="30">
        <f ca="1">H80</f>
        <v>1179534.9173499763</v>
      </c>
      <c r="I63" s="30">
        <f ca="1">I80</f>
        <v>1525655.2800806432</v>
      </c>
    </row>
    <row r="64" spans="2:9">
      <c r="C64" s="103"/>
      <c r="D64" s="48">
        <f ca="1">SUMPRODUCT(E$12:I$12,E64:I64)</f>
        <v>778660963.36891568</v>
      </c>
      <c r="E64" s="48">
        <f ca="1">SUM(E58:E63)</f>
        <v>166367646.69929489</v>
      </c>
      <c r="F64" s="48">
        <f ca="1">SUM(F58:F63)</f>
        <v>175925847.29087913</v>
      </c>
      <c r="G64" s="48">
        <f ca="1">SUM(G58:G63)</f>
        <v>178912538.64650178</v>
      </c>
      <c r="H64" s="48">
        <f ca="1">SUM(H58:H63)</f>
        <v>183401611.63310811</v>
      </c>
      <c r="I64" s="48">
        <f ca="1">SUM(I58:I63)</f>
        <v>189671719.36196682</v>
      </c>
    </row>
    <row r="65" spans="2:9">
      <c r="C65" s="103"/>
      <c r="D65" s="30"/>
      <c r="E65" s="30"/>
      <c r="F65" s="30"/>
      <c r="G65" s="30"/>
      <c r="H65" s="30"/>
      <c r="I65" s="30"/>
    </row>
    <row r="66" spans="2:9" ht="15.75">
      <c r="B66" s="10" t="s">
        <v>66</v>
      </c>
      <c r="C66" s="103"/>
      <c r="D66" s="30">
        <f ca="1">SUMPRODUCT(E$12:I$12,E66:I66)</f>
        <v>778660963.36891556</v>
      </c>
      <c r="E66" s="30">
        <f ca="1">'17. Water - Price Setting'!E67</f>
        <v>168799344.27082741</v>
      </c>
      <c r="F66" s="30">
        <f ca="1">'17. Water - Price Setting'!F67</f>
        <v>179775870.77865189</v>
      </c>
      <c r="G66" s="30">
        <f ca="1">'17. Water - Price Setting'!G67</f>
        <v>176308536.43135279</v>
      </c>
      <c r="H66" s="30">
        <f ca="1">'17. Water - Price Setting'!H67</f>
        <v>181079063.63630641</v>
      </c>
      <c r="I66" s="30">
        <f ca="1">'17. Water - Price Setting'!I67</f>
        <v>187199669.50866178</v>
      </c>
    </row>
    <row r="67" spans="2:9">
      <c r="C67" s="103"/>
      <c r="D67" s="30"/>
      <c r="E67" s="30"/>
      <c r="F67" s="30"/>
      <c r="G67" s="30"/>
      <c r="H67" s="30"/>
      <c r="I67" s="30"/>
    </row>
    <row r="68" spans="2:9" ht="15.75">
      <c r="B68" s="10" t="s">
        <v>34</v>
      </c>
      <c r="C68" s="103"/>
      <c r="D68" s="30"/>
      <c r="E68" s="30"/>
      <c r="F68" s="30"/>
      <c r="G68" s="30"/>
      <c r="H68" s="30"/>
      <c r="I68" s="30"/>
    </row>
    <row r="69" spans="2:9">
      <c r="B69" s="2" t="s">
        <v>35</v>
      </c>
      <c r="C69" s="103"/>
      <c r="D69" s="30"/>
      <c r="E69" s="30">
        <f ca="1">E66</f>
        <v>168799344.27082741</v>
      </c>
      <c r="F69" s="30">
        <f ca="1">F66</f>
        <v>179775870.77865189</v>
      </c>
      <c r="G69" s="30">
        <f ca="1">G66</f>
        <v>176308536.43135279</v>
      </c>
      <c r="H69" s="30">
        <f ca="1">H66</f>
        <v>181079063.63630641</v>
      </c>
      <c r="I69" s="30">
        <f ca="1">I66</f>
        <v>187199669.50866178</v>
      </c>
    </row>
    <row r="70" spans="2:9">
      <c r="B70" s="2" t="s">
        <v>36</v>
      </c>
      <c r="C70" s="103"/>
      <c r="D70" s="30"/>
      <c r="E70" s="30">
        <f t="shared" ref="E70:I72" si="7">E36</f>
        <v>14454573.489899399</v>
      </c>
      <c r="F70" s="30">
        <f t="shared" si="7"/>
        <v>14816669.18</v>
      </c>
      <c r="G70" s="30">
        <f t="shared" si="7"/>
        <v>15187861.782024</v>
      </c>
      <c r="H70" s="30">
        <f t="shared" si="7"/>
        <v>15568381.431086101</v>
      </c>
      <c r="I70" s="30">
        <f t="shared" si="7"/>
        <v>15958464.177861901</v>
      </c>
    </row>
    <row r="71" spans="2:9">
      <c r="B71" s="2" t="s">
        <v>40</v>
      </c>
      <c r="C71" s="103"/>
      <c r="D71" s="30"/>
      <c r="E71" s="30">
        <f t="shared" si="7"/>
        <v>-31501345.555503443</v>
      </c>
      <c r="F71" s="30">
        <f t="shared" si="7"/>
        <v>-32360217.152920388</v>
      </c>
      <c r="G71" s="30">
        <f t="shared" si="7"/>
        <v>-33018153.216457084</v>
      </c>
      <c r="H71" s="30">
        <f t="shared" si="7"/>
        <v>-33641231.419452921</v>
      </c>
      <c r="I71" s="30">
        <f t="shared" si="7"/>
        <v>-34424243.406712271</v>
      </c>
    </row>
    <row r="72" spans="2:9">
      <c r="B72" s="2" t="s">
        <v>41</v>
      </c>
      <c r="C72" s="103"/>
      <c r="D72" s="30"/>
      <c r="E72" s="30">
        <f t="shared" ca="1" si="7"/>
        <v>-53889745.506361589</v>
      </c>
      <c r="F72" s="30">
        <f t="shared" ca="1" si="7"/>
        <v>-55477573.284963325</v>
      </c>
      <c r="G72" s="30">
        <f t="shared" ca="1" si="7"/>
        <v>-56848787.834949009</v>
      </c>
      <c r="H72" s="30">
        <f t="shared" ca="1" si="7"/>
        <v>-58239120.070348471</v>
      </c>
      <c r="I72" s="30">
        <f t="shared" ca="1" si="7"/>
        <v>-59957498.835458152</v>
      </c>
    </row>
    <row r="73" spans="2:9">
      <c r="B73" s="2" t="s">
        <v>42</v>
      </c>
      <c r="C73" s="103"/>
      <c r="D73" s="30"/>
      <c r="E73" s="30">
        <f ca="1">E39</f>
        <v>-91865143.626896158</v>
      </c>
      <c r="F73" s="30">
        <f ca="1">F39</f>
        <v>-97921520.295006752</v>
      </c>
      <c r="G73" s="30">
        <f ca="1">G39</f>
        <v>-99231474.121077746</v>
      </c>
      <c r="H73" s="30">
        <f ca="1">H39</f>
        <v>-100835310.51975784</v>
      </c>
      <c r="I73" s="30">
        <f ca="1">I39</f>
        <v>-103690873.84408444</v>
      </c>
    </row>
    <row r="74" spans="2:9">
      <c r="B74" s="2" t="s">
        <v>43</v>
      </c>
      <c r="C74" s="103"/>
      <c r="D74" s="30"/>
      <c r="E74" s="30">
        <f t="shared" ref="E74" si="8">IF(E77=0,0,IF(SUM(E69:E73)&lt;0,0,IF(SUM(E69:E73)&lt;E77,-SUM(E69:E73),-E77)))</f>
        <v>0</v>
      </c>
      <c r="F74" s="30">
        <f ca="1">IF(F77=0,0,IF(SUM(F69:F73)&lt;0,0,IF(SUM(F69:F73)&lt;F77,-SUM(F69:F73),-F77)))</f>
        <v>0</v>
      </c>
      <c r="G74" s="30">
        <f ca="1">IF(G77=0,0,IF(SUM(G69:G73)&lt;0,0,IF(SUM(G69:G73)&lt;G77,-SUM(G69:G73),-G77)))</f>
        <v>0</v>
      </c>
      <c r="H74" s="30">
        <f ca="1">IF(H77=0,0,IF(SUM(H69:H73)&lt;0,0,IF(SUM(H69:H73)&lt;H77,-SUM(H69:H73),-H77)))</f>
        <v>0</v>
      </c>
      <c r="I74" s="30">
        <f ca="1">IF(I77=0,0,IF(SUM(I69:I73)&lt;0,0,IF(SUM(I69:I73)&lt;I77,-SUM(I69:I73),-I77)))</f>
        <v>0</v>
      </c>
    </row>
    <row r="75" spans="2:9">
      <c r="B75" s="2" t="s">
        <v>37</v>
      </c>
      <c r="C75" s="103"/>
      <c r="D75" s="30"/>
      <c r="E75" s="30">
        <f ca="1">SUM(E69:E74)</f>
        <v>5997683.0719656348</v>
      </c>
      <c r="F75" s="30">
        <f ca="1">SUM(F69:F74)</f>
        <v>8833229.2257614285</v>
      </c>
      <c r="G75" s="30">
        <f ca="1">SUM(G69:G74)</f>
        <v>2397983.0408929288</v>
      </c>
      <c r="H75" s="30">
        <f ca="1">SUM(H69:H74)</f>
        <v>3931783.0578332543</v>
      </c>
      <c r="I75" s="30">
        <f ca="1">SUM(I69:I74)</f>
        <v>5085517.600268811</v>
      </c>
    </row>
    <row r="76" spans="2:9">
      <c r="C76" s="103"/>
      <c r="D76" s="30"/>
      <c r="E76" s="30"/>
      <c r="F76" s="30"/>
      <c r="G76" s="30"/>
      <c r="H76" s="30"/>
      <c r="I76" s="30"/>
    </row>
    <row r="77" spans="2:9">
      <c r="B77" s="2" t="s">
        <v>38</v>
      </c>
      <c r="C77" s="103"/>
      <c r="D77" s="30"/>
      <c r="E77" s="30">
        <f>'3. General Model Inputs'!$E$56</f>
        <v>0</v>
      </c>
      <c r="F77" s="30">
        <f ca="1">E78</f>
        <v>0</v>
      </c>
      <c r="G77" s="30">
        <f ca="1">F78</f>
        <v>0</v>
      </c>
      <c r="H77" s="30">
        <f ca="1">G78</f>
        <v>0</v>
      </c>
      <c r="I77" s="30">
        <f ca="1">H78</f>
        <v>0</v>
      </c>
    </row>
    <row r="78" spans="2:9">
      <c r="B78" s="2" t="s">
        <v>39</v>
      </c>
      <c r="C78" s="103"/>
      <c r="D78" s="30"/>
      <c r="E78" s="30">
        <f ca="1">IF((E77+E74-E75)&gt;0,E77+E74-E75,0)</f>
        <v>0</v>
      </c>
      <c r="F78" s="30">
        <f ca="1">IF((F77+F74-F75)&gt;0,F77+F74-F75,0)</f>
        <v>0</v>
      </c>
      <c r="G78" s="30">
        <f ca="1">IF((G77+G74-G75)&gt;0,G77+G74-G75,0)</f>
        <v>0</v>
      </c>
      <c r="H78" s="30">
        <f ca="1">IF((H77+H74-H75)&gt;0,H77+H74-H75,0)</f>
        <v>0</v>
      </c>
      <c r="I78" s="30">
        <f ca="1">IF((I77+I74-I75)&gt;0,I77+I74-I75,0)</f>
        <v>0</v>
      </c>
    </row>
    <row r="79" spans="2:9">
      <c r="C79" s="103"/>
      <c r="D79" s="30"/>
      <c r="E79" s="30"/>
      <c r="F79" s="30"/>
      <c r="G79" s="30"/>
      <c r="H79" s="30"/>
      <c r="I79" s="30"/>
    </row>
    <row r="80" spans="2:9">
      <c r="B80" s="2" t="s">
        <v>32</v>
      </c>
      <c r="C80" s="103"/>
      <c r="D80" s="30"/>
      <c r="E80" s="30">
        <f ca="1">IF(E75&lt;0,0,E75*E$8)</f>
        <v>1799304.9215896905</v>
      </c>
      <c r="F80" s="30">
        <f ca="1">IF(F75&lt;0,0,F75*F$8)</f>
        <v>2649968.7677284284</v>
      </c>
      <c r="G80" s="30">
        <f ca="1">IF(G75&lt;0,0,G75*G$8)</f>
        <v>719394.91226787865</v>
      </c>
      <c r="H80" s="30">
        <f ca="1">IF(H75&lt;0,0,H75*H$8)</f>
        <v>1179534.9173499763</v>
      </c>
      <c r="I80" s="30">
        <f ca="1">IF(I75&lt;0,0,I75*I$8)</f>
        <v>1525655.2800806432</v>
      </c>
    </row>
    <row r="81" spans="1:6">
      <c r="C81" s="5"/>
    </row>
    <row r="82" spans="1:6">
      <c r="B82" s="12" t="s">
        <v>348</v>
      </c>
      <c r="C82" s="40" t="s">
        <v>106</v>
      </c>
      <c r="D82" s="13">
        <f t="shared" ref="D82" ca="1" si="9">SUMPRODUCT(E$12:I$12,E82:I82)</f>
        <v>-7397456.4642455783</v>
      </c>
      <c r="E82" s="13">
        <f ca="1">E30-E66</f>
        <v>-2983256.8447461128</v>
      </c>
      <c r="F82" s="13">
        <f ca="1">F30-F66</f>
        <v>-4732021.9921034276</v>
      </c>
    </row>
    <row r="96" spans="1:6" s="12" customFormat="1">
      <c r="A96" s="11"/>
    </row>
  </sheetData>
  <pageMargins left="0" right="0" top="0" bottom="0" header="0" footer="0"/>
  <pageSetup paperSize="9" scale="80"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A12219DB-CE78-9042-BDC1-311DAE48A134}">
            <xm:f>'2. Notes and Assumptions'!$D$92="ERROR"</xm:f>
            <x14:dxf>
              <font>
                <color theme="0"/>
              </font>
              <fill>
                <patternFill patternType="solid">
                  <fgColor indexed="64"/>
                  <bgColor rgb="FFFF0000"/>
                </patternFill>
              </fill>
            </x14:dxf>
          </x14:cfRule>
          <x14:cfRule type="expression" priority="2" id="{0EAC59BF-C6E8-294F-A509-27487BEEAAF3}">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sheetPr codeName="Sheet15"/>
  <dimension ref="A1:Y80"/>
  <sheetViews>
    <sheetView zoomScaleNormal="100" workbookViewId="0">
      <pane ySplit="4" topLeftCell="A5" activePane="bottomLeft" state="frozen"/>
      <selection pane="bottomLeft" activeCell="B42" sqref="B42"/>
    </sheetView>
  </sheetViews>
  <sheetFormatPr defaultColWidth="10.6640625" defaultRowHeight="15"/>
  <cols>
    <col min="1" max="1" width="30.77734375" style="35" customWidth="1"/>
    <col min="2" max="2" width="30.88671875" style="2" customWidth="1"/>
    <col min="3" max="3" width="22.77734375" style="2" customWidth="1"/>
    <col min="4" max="4" width="10.88671875" style="2" customWidth="1"/>
    <col min="5" max="5" width="10.77734375" style="2" customWidth="1"/>
    <col min="6" max="6" width="11.6640625" style="2" customWidth="1"/>
    <col min="7" max="7" width="11" style="2" customWidth="1"/>
    <col min="8" max="8" width="11.109375" style="2" customWidth="1"/>
    <col min="9" max="9" width="10.88671875" style="2" customWidth="1"/>
    <col min="10" max="16384" width="10.6640625" style="2"/>
  </cols>
  <sheetData>
    <row r="1" spans="1:25" s="6" customFormat="1" ht="20.25" customHeight="1">
      <c r="A1" s="92" t="s">
        <v>115</v>
      </c>
      <c r="B1" s="92"/>
      <c r="C1" s="92"/>
      <c r="D1" s="92"/>
      <c r="E1" s="92"/>
      <c r="F1" s="92"/>
      <c r="G1" s="92"/>
      <c r="H1" s="92"/>
    </row>
    <row r="2" spans="1:25" ht="18" customHeight="1">
      <c r="A2" s="3" t="str">
        <f ca="1">MID(CELL("filename",A1),FIND("]",CELL("filename",A1))+1,LEN(CELL("filename",A1))-FIND("]",CELL("filename",A1)))</f>
        <v>17. Water - Price Setting</v>
      </c>
      <c r="B2" s="3"/>
      <c r="C2" s="3"/>
      <c r="D2" s="3"/>
      <c r="E2" s="3"/>
      <c r="F2" s="3"/>
      <c r="G2" s="3"/>
      <c r="H2" s="3"/>
    </row>
    <row r="3" spans="1:25" s="6" customFormat="1">
      <c r="A3" s="35"/>
      <c r="B3" s="63"/>
      <c r="C3" s="160"/>
      <c r="D3" s="16" t="s">
        <v>0</v>
      </c>
      <c r="E3" s="17">
        <v>1</v>
      </c>
      <c r="F3" s="17">
        <v>2</v>
      </c>
      <c r="G3" s="17">
        <v>3</v>
      </c>
      <c r="H3" s="17">
        <v>4</v>
      </c>
      <c r="I3" s="17">
        <v>5</v>
      </c>
      <c r="J3" s="2"/>
      <c r="K3" s="2"/>
      <c r="L3" s="2"/>
      <c r="M3" s="2"/>
      <c r="N3" s="2"/>
      <c r="O3" s="2"/>
      <c r="P3" s="2"/>
      <c r="Q3" s="2"/>
      <c r="R3" s="2"/>
      <c r="S3" s="2"/>
      <c r="T3" s="2"/>
      <c r="U3" s="2"/>
      <c r="V3" s="2"/>
      <c r="W3" s="2"/>
      <c r="X3" s="2"/>
      <c r="Y3" s="2"/>
    </row>
    <row r="4" spans="1:25" s="6" customFormat="1">
      <c r="A4" s="35"/>
      <c r="B4" s="65"/>
      <c r="C4" s="161"/>
      <c r="D4" s="18" t="s">
        <v>1</v>
      </c>
      <c r="E4" s="19" t="s">
        <v>10</v>
      </c>
      <c r="F4" s="19" t="s">
        <v>11</v>
      </c>
      <c r="G4" s="19" t="s">
        <v>2</v>
      </c>
      <c r="H4" s="19" t="s">
        <v>3</v>
      </c>
      <c r="I4" s="19" t="s">
        <v>4</v>
      </c>
      <c r="J4" s="2"/>
      <c r="K4" s="2"/>
      <c r="L4" s="2"/>
      <c r="M4" s="2"/>
      <c r="N4" s="2"/>
      <c r="O4" s="2"/>
      <c r="P4" s="2"/>
      <c r="Q4" s="2"/>
      <c r="R4" s="2"/>
      <c r="S4" s="2"/>
      <c r="T4" s="2"/>
      <c r="U4" s="2"/>
      <c r="V4" s="2"/>
      <c r="W4" s="2"/>
      <c r="X4" s="2"/>
      <c r="Y4" s="2"/>
    </row>
    <row r="5" spans="1:25" ht="15.75">
      <c r="B5" s="10" t="s">
        <v>19</v>
      </c>
      <c r="C5" s="5"/>
    </row>
    <row r="6" spans="1:25">
      <c r="B6" s="2" t="s">
        <v>20</v>
      </c>
      <c r="C6" s="5"/>
      <c r="E6" s="67">
        <f>'3. General Model Inputs'!E5</f>
        <v>2.5000000000000001E-2</v>
      </c>
      <c r="F6" s="67">
        <f>'3. General Model Inputs'!F5</f>
        <v>2.5000000000000001E-2</v>
      </c>
      <c r="G6" s="67">
        <f>'3. General Model Inputs'!G5</f>
        <v>2.5000000000000001E-2</v>
      </c>
      <c r="H6" s="67">
        <f>'3. General Model Inputs'!H5</f>
        <v>2.5000000000000001E-2</v>
      </c>
      <c r="I6" s="67">
        <f>'3. General Model Inputs'!I5</f>
        <v>2.5000000000000001E-2</v>
      </c>
    </row>
    <row r="7" spans="1:25">
      <c r="B7" s="2" t="s">
        <v>22</v>
      </c>
      <c r="C7" s="5"/>
      <c r="E7" s="45">
        <f>'16. Water - MAR'!E12</f>
        <v>1</v>
      </c>
      <c r="F7" s="45">
        <f ca="1">'16. Water - MAR'!F12</f>
        <v>0.93283582089552231</v>
      </c>
      <c r="G7" s="45">
        <f ca="1">'16. Water - MAR'!G12</f>
        <v>0.87018266874582295</v>
      </c>
      <c r="H7" s="45">
        <f ca="1">'16. Water - MAR'!H12</f>
        <v>0.81173756412856612</v>
      </c>
      <c r="I7" s="45">
        <f ca="1">'16. Water - MAR'!I12</f>
        <v>0.75721787698560272</v>
      </c>
    </row>
    <row r="8" spans="1:25">
      <c r="C8" s="5"/>
    </row>
    <row r="9" spans="1:25" ht="15.75">
      <c r="B9" s="10" t="s">
        <v>44</v>
      </c>
      <c r="C9" s="5"/>
    </row>
    <row r="10" spans="1:25" ht="15" customHeight="1">
      <c r="B10" s="2" t="s">
        <v>93</v>
      </c>
      <c r="C10" s="152" t="s">
        <v>176</v>
      </c>
      <c r="E10" s="54">
        <f ca="1">'5. Demand Forecast Inputs'!E7</f>
        <v>162951</v>
      </c>
      <c r="F10" s="54">
        <f ca="1">'5. Demand Forecast Inputs'!F7</f>
        <v>166992</v>
      </c>
      <c r="G10" s="54">
        <f ca="1">'5. Demand Forecast Inputs'!G7</f>
        <v>171134</v>
      </c>
      <c r="H10" s="54">
        <f ca="1">'5. Demand Forecast Inputs'!H7</f>
        <v>175378</v>
      </c>
      <c r="I10" s="54">
        <f ca="1">'5. Demand Forecast Inputs'!I7</f>
        <v>179728</v>
      </c>
    </row>
    <row r="11" spans="1:25" ht="15" customHeight="1">
      <c r="B11" s="2" t="s">
        <v>460</v>
      </c>
      <c r="C11" s="5" t="s">
        <v>94</v>
      </c>
      <c r="E11" s="54">
        <f ca="1">'5. Demand Forecast Inputs'!E8*(1+'3. General Model Inputs'!E$95)-E13</f>
        <v>20932936.111466225</v>
      </c>
      <c r="F11" s="54">
        <f ca="1">'5. Demand Forecast Inputs'!F8*(1+'3. General Model Inputs'!F$95)-F13</f>
        <v>21609318.394330531</v>
      </c>
      <c r="G11" s="54">
        <f ca="1">'5. Demand Forecast Inputs'!G8*(1+'3. General Model Inputs'!G$95)-G13</f>
        <v>22301601.250887591</v>
      </c>
      <c r="H11" s="54">
        <f ca="1">'5. Demand Forecast Inputs'!H8*(1+'3. General Model Inputs'!H$95)-H13</f>
        <v>22943933.152953412</v>
      </c>
      <c r="I11" s="54">
        <f ca="1">'5. Demand Forecast Inputs'!I8*(1+'3. General Model Inputs'!I$95)-I13</f>
        <v>23540943.838712581</v>
      </c>
    </row>
    <row r="12" spans="1:25" ht="15" customHeight="1">
      <c r="B12" s="2" t="s">
        <v>461</v>
      </c>
      <c r="C12" s="5" t="s">
        <v>94</v>
      </c>
      <c r="E12" s="54">
        <f ca="1">'5. Demand Forecast Inputs'!E9*(1+'3. General Model Inputs'!E$95)-E14</f>
        <v>16455383.072714368</v>
      </c>
      <c r="F12" s="54">
        <f ca="1">'5. Demand Forecast Inputs'!F9*(1+'3. General Model Inputs'!F$95)-F14</f>
        <v>16861658.964011412</v>
      </c>
      <c r="G12" s="54">
        <f ca="1">'5. Demand Forecast Inputs'!G9*(1+'3. General Model Inputs'!G$95)-G14</f>
        <v>16622565.055432541</v>
      </c>
      <c r="H12" s="54">
        <f ca="1">'5. Demand Forecast Inputs'!H9*(1+'3. General Model Inputs'!H$95)-H14</f>
        <v>16448196.861119321</v>
      </c>
      <c r="I12" s="54">
        <f ca="1">'5. Demand Forecast Inputs'!I9*(1+'3. General Model Inputs'!I$95)-I14</f>
        <v>16334286.12458184</v>
      </c>
    </row>
    <row r="13" spans="1:25" ht="15" customHeight="1">
      <c r="B13" s="2" t="s">
        <v>361</v>
      </c>
      <c r="C13" s="5" t="s">
        <v>94</v>
      </c>
      <c r="E13" s="54">
        <f ca="1">'5. Demand Forecast Inputs'!E8*(1+'3. General Model Inputs'!E$95)*'6. Prior Price Year Adjustment '!E7</f>
        <v>2827063.8885337762</v>
      </c>
      <c r="F13" s="54">
        <f ca="1">'5. Demand Forecast Inputs'!F8*(1+'3. General Model Inputs'!F$95)*'6. Prior Price Year Adjustment '!F7</f>
        <v>2918411.6056694677</v>
      </c>
      <c r="G13" s="54">
        <f ca="1">'5. Demand Forecast Inputs'!G8*(1+'3. General Model Inputs'!G$95)*'6. Prior Price Year Adjustment '!G7</f>
        <v>3011906.7491124095</v>
      </c>
      <c r="H13" s="54">
        <f ca="1">'5. Demand Forecast Inputs'!H8*(1+'3. General Model Inputs'!H$95)*'6. Prior Price Year Adjustment '!H7</f>
        <v>3098655.8470465885</v>
      </c>
      <c r="I13" s="54">
        <f ca="1">'5. Demand Forecast Inputs'!I8*(1+'3. General Model Inputs'!I$95)*'6. Prior Price Year Adjustment '!I7</f>
        <v>3179284.1612874195</v>
      </c>
    </row>
    <row r="14" spans="1:25" ht="15" customHeight="1">
      <c r="B14" s="2" t="s">
        <v>362</v>
      </c>
      <c r="C14" s="5" t="s">
        <v>94</v>
      </c>
      <c r="E14" s="54">
        <f ca="1">'5. Demand Forecast Inputs'!E9*(1+'3. General Model Inputs'!E$95)*'6. Prior Price Year Adjustment '!E8</f>
        <v>1714616.9272856328</v>
      </c>
      <c r="F14" s="54">
        <f ca="1">'5. Demand Forecast Inputs'!F9*(1+'3. General Model Inputs'!F$95)*'6. Prior Price Year Adjustment '!F8</f>
        <v>1756950.0359885872</v>
      </c>
      <c r="G14" s="54">
        <f ca="1">'5. Demand Forecast Inputs'!G9*(1+'3. General Model Inputs'!G$95)*'6. Prior Price Year Adjustment '!G8</f>
        <v>1732036.9445674592</v>
      </c>
      <c r="H14" s="54">
        <f ca="1">'5. Demand Forecast Inputs'!H9*(1+'3. General Model Inputs'!H$95)*'6. Prior Price Year Adjustment '!H8</f>
        <v>1713868.1388806792</v>
      </c>
      <c r="I14" s="54">
        <f ca="1">'5. Demand Forecast Inputs'!I9*(1+'3. General Model Inputs'!I$95)*'6. Prior Price Year Adjustment '!I8</f>
        <v>1701998.8754181592</v>
      </c>
    </row>
    <row r="15" spans="1:25" ht="15" customHeight="1">
      <c r="C15" s="5"/>
    </row>
    <row r="16" spans="1:25" ht="15" customHeight="1">
      <c r="A16" s="35">
        <f>'2. Notes and Assumptions'!B72</f>
        <v>48</v>
      </c>
      <c r="B16" s="47" t="s">
        <v>107</v>
      </c>
      <c r="C16" s="5"/>
    </row>
    <row r="17" spans="1:10" ht="15" customHeight="1">
      <c r="C17" s="5"/>
    </row>
    <row r="18" spans="1:10" ht="15" customHeight="1">
      <c r="B18" s="10" t="s">
        <v>102</v>
      </c>
      <c r="C18" s="5"/>
    </row>
    <row r="19" spans="1:10" ht="15" customHeight="1">
      <c r="B19" s="2" t="s">
        <v>101</v>
      </c>
      <c r="C19" s="5"/>
      <c r="E19" s="30">
        <f ca="1">'16. Water - MAR'!E30</f>
        <v>165816087.4260813</v>
      </c>
      <c r="F19" s="30">
        <f ca="1">'16. Water - MAR'!F30</f>
        <v>175043848.78654847</v>
      </c>
      <c r="G19" s="30">
        <f ca="1">'16. Water - MAR'!G30</f>
        <v>179366156.26868597</v>
      </c>
      <c r="H19" s="30">
        <f ca="1">'16. Water - MAR'!H30</f>
        <v>184015947.28621545</v>
      </c>
      <c r="I19" s="30">
        <f ca="1">'16. Water - MAR'!I30</f>
        <v>190306819.99412689</v>
      </c>
    </row>
    <row r="20" spans="1:10" ht="15" customHeight="1">
      <c r="C20" s="5"/>
      <c r="E20" s="30"/>
      <c r="F20" s="30"/>
      <c r="G20" s="30"/>
      <c r="H20" s="30"/>
      <c r="I20" s="30"/>
    </row>
    <row r="21" spans="1:10" ht="15" customHeight="1">
      <c r="C21" s="5"/>
      <c r="D21" s="2" t="s">
        <v>113</v>
      </c>
      <c r="E21" s="136">
        <v>-5.509574160203011E-2</v>
      </c>
      <c r="F21" s="30"/>
      <c r="G21" s="72">
        <f>(G30/F59)/(1+$G$6)-1</f>
        <v>-3.3685278454219869E-2</v>
      </c>
      <c r="H21" s="30"/>
      <c r="I21" s="30"/>
      <c r="J21" s="2">
        <f>F59*(1+$G$6)*(1+G21)-G30</f>
        <v>0</v>
      </c>
    </row>
    <row r="22" spans="1:10" ht="15" customHeight="1">
      <c r="C22" s="5"/>
      <c r="D22" s="2" t="s">
        <v>114</v>
      </c>
      <c r="E22" s="136">
        <v>0</v>
      </c>
      <c r="F22" s="30"/>
      <c r="G22" s="72">
        <f t="shared" ref="G22:G23" si="0">(G31/F60)/(1+$G$6)-1</f>
        <v>-3.3684874964161393E-2</v>
      </c>
      <c r="H22" s="30"/>
      <c r="I22" s="30"/>
      <c r="J22" s="2">
        <f t="shared" ref="J22:J23" si="1">F60*(1+$G$6)*(1+G22)-G31</f>
        <v>0</v>
      </c>
    </row>
    <row r="23" spans="1:10" ht="15" customHeight="1">
      <c r="C23" s="5"/>
      <c r="G23" s="72">
        <f t="shared" si="0"/>
        <v>-3.3684874964160949E-2</v>
      </c>
      <c r="J23" s="2">
        <f t="shared" si="1"/>
        <v>0</v>
      </c>
    </row>
    <row r="24" spans="1:10" ht="15" customHeight="1">
      <c r="B24" s="2" t="s">
        <v>103</v>
      </c>
      <c r="C24" s="5"/>
    </row>
    <row r="25" spans="1:10" ht="15" customHeight="1">
      <c r="B25" s="2" t="s">
        <v>99</v>
      </c>
      <c r="C25" s="5" t="s">
        <v>104</v>
      </c>
      <c r="E25" s="72">
        <f>(1+E$6)*(1+$E$21)</f>
        <v>0.96852686485791906</v>
      </c>
      <c r="F25" s="72">
        <f t="shared" ref="F25:I27" si="2">(1+F$6)*(1+$E$22)</f>
        <v>1.0249999999999999</v>
      </c>
      <c r="G25" s="72">
        <f t="shared" si="2"/>
        <v>1.0249999999999999</v>
      </c>
      <c r="H25" s="72">
        <f t="shared" si="2"/>
        <v>1.0249999999999999</v>
      </c>
      <c r="I25" s="72">
        <f t="shared" si="2"/>
        <v>1.0249999999999999</v>
      </c>
    </row>
    <row r="26" spans="1:10" ht="15" customHeight="1">
      <c r="B26" s="2" t="s">
        <v>100</v>
      </c>
      <c r="C26" s="5" t="s">
        <v>104</v>
      </c>
      <c r="E26" s="72">
        <f>(1+E$6)*(1+$E$21)</f>
        <v>0.96852686485791906</v>
      </c>
      <c r="F26" s="72">
        <f t="shared" si="2"/>
        <v>1.0249999999999999</v>
      </c>
      <c r="G26" s="72">
        <f t="shared" si="2"/>
        <v>1.0249999999999999</v>
      </c>
      <c r="H26" s="72">
        <f t="shared" si="2"/>
        <v>1.0249999999999999</v>
      </c>
      <c r="I26" s="72">
        <f t="shared" si="2"/>
        <v>1.0249999999999999</v>
      </c>
    </row>
    <row r="27" spans="1:10" ht="15" customHeight="1">
      <c r="B27" s="2" t="s">
        <v>100</v>
      </c>
      <c r="C27" s="5" t="s">
        <v>104</v>
      </c>
      <c r="E27" s="72">
        <f>(1+E$6)*(1+$E$21)</f>
        <v>0.96852686485791906</v>
      </c>
      <c r="F27" s="72">
        <f t="shared" si="2"/>
        <v>1.0249999999999999</v>
      </c>
      <c r="G27" s="72">
        <f t="shared" si="2"/>
        <v>1.0249999999999999</v>
      </c>
      <c r="H27" s="72">
        <f t="shared" si="2"/>
        <v>1.0249999999999999</v>
      </c>
      <c r="I27" s="72">
        <f t="shared" si="2"/>
        <v>1.0249999999999999</v>
      </c>
    </row>
    <row r="28" spans="1:10">
      <c r="C28" s="5"/>
    </row>
    <row r="29" spans="1:10" ht="15.75">
      <c r="B29" s="10" t="s">
        <v>96</v>
      </c>
      <c r="C29" s="5"/>
    </row>
    <row r="30" spans="1:10">
      <c r="B30" s="2" t="s">
        <v>99</v>
      </c>
      <c r="C30" s="5" t="s">
        <v>97</v>
      </c>
      <c r="D30" s="25">
        <f>'3. General Model Inputs'!D87</f>
        <v>99.83</v>
      </c>
      <c r="E30" s="25">
        <f>D30*E25</f>
        <v>96.688036918766059</v>
      </c>
      <c r="F30" s="25">
        <f t="shared" ref="F30:I30" si="3">E30*F25</f>
        <v>99.105237841735203</v>
      </c>
      <c r="G30" s="25">
        <f t="shared" si="3"/>
        <v>101.58286878777858</v>
      </c>
      <c r="H30" s="25">
        <f t="shared" si="3"/>
        <v>104.12244050747303</v>
      </c>
      <c r="I30" s="25">
        <f t="shared" si="3"/>
        <v>106.72550152015985</v>
      </c>
    </row>
    <row r="31" spans="1:10">
      <c r="A31" s="35">
        <f>'2. Notes and Assumptions'!$B$78</f>
        <v>54</v>
      </c>
      <c r="B31" s="2" t="s">
        <v>100</v>
      </c>
      <c r="C31" s="5" t="s">
        <v>98</v>
      </c>
      <c r="D31" s="25">
        <f>'3. General Model Inputs'!D88</f>
        <v>2.4300000000000002</v>
      </c>
      <c r="E31" s="89">
        <f>IF('2. Notes and Assumptions'!$C$14='2. Notes and Assumptions'!$G$9,0.025741040389495*E30,D31*E26)</f>
        <v>2.4888506635069407</v>
      </c>
      <c r="F31" s="25">
        <f>E31*F26</f>
        <v>2.5510719300946141</v>
      </c>
      <c r="G31" s="25">
        <f t="shared" ref="G31:I31" si="4">F31*G26</f>
        <v>2.614848728346979</v>
      </c>
      <c r="H31" s="25">
        <f t="shared" si="4"/>
        <v>2.6802199465556531</v>
      </c>
      <c r="I31" s="25">
        <f t="shared" si="4"/>
        <v>2.7472254452195441</v>
      </c>
    </row>
    <row r="32" spans="1:10">
      <c r="A32" s="35">
        <f>'2. Notes and Assumptions'!$B$78</f>
        <v>54</v>
      </c>
      <c r="B32" s="2" t="s">
        <v>155</v>
      </c>
      <c r="C32" s="5" t="s">
        <v>98</v>
      </c>
      <c r="D32" s="25">
        <f>'3. General Model Inputs'!D89</f>
        <v>4.8600000000000003</v>
      </c>
      <c r="E32" s="89">
        <f>IF('2. Notes and Assumptions'!$C$14='2. Notes and Assumptions'!$G$9,2.00378787878788*E31,D32*E27)</f>
        <v>4.98712879164838</v>
      </c>
      <c r="F32" s="25">
        <f t="shared" ref="F32:I32" si="5">E32*F27</f>
        <v>5.1118070114395886</v>
      </c>
      <c r="G32" s="25">
        <f t="shared" si="5"/>
        <v>5.2396021867255778</v>
      </c>
      <c r="H32" s="25">
        <f t="shared" si="5"/>
        <v>5.3705922413937168</v>
      </c>
      <c r="I32" s="25">
        <f t="shared" si="5"/>
        <v>5.5048570474285592</v>
      </c>
    </row>
    <row r="33" spans="1:9">
      <c r="C33" s="5"/>
    </row>
    <row r="34" spans="1:9" ht="15.75">
      <c r="B34" s="10" t="s">
        <v>105</v>
      </c>
      <c r="C34" s="5"/>
    </row>
    <row r="35" spans="1:9">
      <c r="B35" s="2" t="s">
        <v>99</v>
      </c>
      <c r="C35" s="5" t="s">
        <v>106</v>
      </c>
      <c r="E35" s="30">
        <f ca="1">E10*E30</f>
        <v>15755412.303949848</v>
      </c>
      <c r="F35" s="30">
        <f t="shared" ref="F35:G35" ca="1" si="6">F10*F30</f>
        <v>16549781.877667045</v>
      </c>
      <c r="G35" s="30">
        <f t="shared" ca="1" si="6"/>
        <v>17384282.667127699</v>
      </c>
      <c r="H35" s="30">
        <f t="shared" ref="H35:I35" ca="1" si="7">H10*H30</f>
        <v>18260785.371319607</v>
      </c>
      <c r="I35" s="30">
        <f t="shared" ca="1" si="7"/>
        <v>19181560.937215291</v>
      </c>
    </row>
    <row r="36" spans="1:9">
      <c r="B36" s="2" t="s">
        <v>100</v>
      </c>
      <c r="C36" s="5" t="s">
        <v>106</v>
      </c>
      <c r="E36" s="30">
        <f ca="1">E11*E31+E13*D31</f>
        <v>58968717.179308191</v>
      </c>
      <c r="F36" s="30">
        <f t="shared" ref="F36:I36" ca="1" si="8">F11*F31+F13*E31</f>
        <v>62390416.245410644</v>
      </c>
      <c r="G36" s="30">
        <f t="shared" ca="1" si="8"/>
        <v>65998904.434707999</v>
      </c>
      <c r="H36" s="30">
        <f t="shared" ca="1" si="8"/>
        <v>69597303.590219975</v>
      </c>
      <c r="I36" s="30">
        <f t="shared" ca="1" si="8"/>
        <v>73193460.743046463</v>
      </c>
    </row>
    <row r="37" spans="1:9">
      <c r="B37" s="2" t="s">
        <v>155</v>
      </c>
      <c r="C37" s="5" t="s">
        <v>106</v>
      </c>
      <c r="E37" s="30">
        <f ca="1">E12*E32+E14*D32</f>
        <v>90398152.966145396</v>
      </c>
      <c r="F37" s="30">
        <f t="shared" ref="F37:I37" ca="1" si="9">F12*F32+F14*E32</f>
        <v>94955682.626703069</v>
      </c>
      <c r="G37" s="30">
        <f t="shared" ca="1" si="9"/>
        <v>95949466.810744867</v>
      </c>
      <c r="H37" s="30">
        <f t="shared" ca="1" si="9"/>
        <v>97316545.695482418</v>
      </c>
      <c r="I37" s="30">
        <f t="shared" ca="1" si="9"/>
        <v>99058652.042800471</v>
      </c>
    </row>
    <row r="38" spans="1:9">
      <c r="C38" s="5"/>
      <c r="E38" s="73">
        <f ca="1">SUM(E35:E37)</f>
        <v>165122282.44940343</v>
      </c>
      <c r="F38" s="73">
        <f t="shared" ref="F38:I38" ca="1" si="10">SUM(F35:F37)</f>
        <v>173895880.74978077</v>
      </c>
      <c r="G38" s="73">
        <f t="shared" ca="1" si="10"/>
        <v>179332653.91258055</v>
      </c>
      <c r="H38" s="73">
        <f t="shared" ca="1" si="10"/>
        <v>185174634.657022</v>
      </c>
      <c r="I38" s="73">
        <f t="shared" ca="1" si="10"/>
        <v>191433673.72306222</v>
      </c>
    </row>
    <row r="39" spans="1:9">
      <c r="C39" s="5"/>
      <c r="E39" s="70"/>
      <c r="F39" s="70"/>
      <c r="G39" s="70"/>
      <c r="H39" s="70"/>
      <c r="I39" s="70"/>
    </row>
    <row r="40" spans="1:9" ht="15.75">
      <c r="B40" s="10" t="s">
        <v>109</v>
      </c>
      <c r="C40" s="5"/>
      <c r="E40" s="70"/>
      <c r="F40" s="70"/>
      <c r="G40" s="70"/>
      <c r="H40" s="70"/>
      <c r="I40" s="70"/>
    </row>
    <row r="41" spans="1:9">
      <c r="B41" s="2" t="s">
        <v>110</v>
      </c>
      <c r="C41" s="5" t="s">
        <v>106</v>
      </c>
      <c r="D41" s="30">
        <f ca="1">SUMPRODUCT($E$7:$I$7,$E$19:$I$19)</f>
        <v>778660963.36891556</v>
      </c>
      <c r="E41" s="70"/>
      <c r="F41" s="70"/>
      <c r="G41" s="70"/>
      <c r="H41" s="70"/>
      <c r="I41" s="70"/>
    </row>
    <row r="42" spans="1:9">
      <c r="B42" s="2" t="s">
        <v>111</v>
      </c>
      <c r="C42" s="5" t="s">
        <v>106</v>
      </c>
      <c r="D42" s="30">
        <f ca="1">SUMPRODUCT($E$7:$I$7,$E$38:$I$38)</f>
        <v>778660963.36891532</v>
      </c>
      <c r="E42" s="70"/>
      <c r="F42" s="70"/>
      <c r="G42" s="70"/>
      <c r="H42" s="70"/>
      <c r="I42" s="70"/>
    </row>
    <row r="43" spans="1:9">
      <c r="B43" s="2" t="s">
        <v>112</v>
      </c>
      <c r="C43" s="5" t="s">
        <v>106</v>
      </c>
      <c r="D43" s="30">
        <f ca="1">D41-D42</f>
        <v>0</v>
      </c>
      <c r="E43" s="70"/>
      <c r="F43" s="70"/>
      <c r="G43" s="70"/>
      <c r="H43" s="70"/>
      <c r="I43" s="70"/>
    </row>
    <row r="44" spans="1:9">
      <c r="C44" s="5"/>
      <c r="D44" s="30"/>
      <c r="E44" s="70"/>
      <c r="F44" s="70"/>
      <c r="G44" s="70"/>
      <c r="H44" s="70"/>
      <c r="I44" s="70"/>
    </row>
    <row r="45" spans="1:9" ht="15" customHeight="1">
      <c r="A45" s="35">
        <f>'2. Notes and Assumptions'!B73</f>
        <v>49</v>
      </c>
      <c r="B45" s="47" t="s">
        <v>108</v>
      </c>
      <c r="C45" s="5"/>
    </row>
    <row r="46" spans="1:9" ht="15" customHeight="1">
      <c r="C46" s="5"/>
    </row>
    <row r="47" spans="1:9" ht="15" customHeight="1">
      <c r="B47" s="10" t="s">
        <v>102</v>
      </c>
      <c r="C47" s="5"/>
    </row>
    <row r="48" spans="1:9" ht="15" customHeight="1">
      <c r="B48" s="2" t="s">
        <v>101</v>
      </c>
      <c r="C48" s="5"/>
      <c r="E48" s="30">
        <f ca="1">'16. Water - MAR'!E64</f>
        <v>166367646.69929489</v>
      </c>
      <c r="F48" s="30">
        <f ca="1">'16. Water - MAR'!F64</f>
        <v>175925847.29087913</v>
      </c>
      <c r="G48" s="30">
        <f ca="1">'16. Water - MAR'!G64</f>
        <v>178912538.64650178</v>
      </c>
      <c r="H48" s="30">
        <f ca="1">'16. Water - MAR'!H64</f>
        <v>183401611.63310811</v>
      </c>
      <c r="I48" s="30">
        <f ca="1">'16. Water - MAR'!I64</f>
        <v>189671719.36196682</v>
      </c>
    </row>
    <row r="49" spans="2:9" ht="15" customHeight="1">
      <c r="C49" s="5"/>
      <c r="E49" s="30"/>
      <c r="F49" s="30"/>
      <c r="G49" s="30"/>
      <c r="H49" s="30"/>
      <c r="I49" s="30"/>
    </row>
    <row r="50" spans="2:9" ht="15" customHeight="1">
      <c r="C50" s="5"/>
      <c r="D50" s="2" t="s">
        <v>113</v>
      </c>
      <c r="F50" s="30"/>
      <c r="G50" s="136">
        <v>-5.505723752014885E-2</v>
      </c>
      <c r="H50" s="30"/>
      <c r="I50" s="30"/>
    </row>
    <row r="51" spans="2:9" ht="15" customHeight="1">
      <c r="C51" s="5"/>
      <c r="D51" s="2" t="s">
        <v>114</v>
      </c>
      <c r="F51" s="30"/>
      <c r="G51" s="136">
        <v>0</v>
      </c>
      <c r="H51" s="30"/>
      <c r="I51" s="30"/>
    </row>
    <row r="52" spans="2:9" ht="15" customHeight="1">
      <c r="C52" s="5"/>
    </row>
    <row r="53" spans="2:9" ht="15" customHeight="1">
      <c r="B53" s="10" t="s">
        <v>103</v>
      </c>
      <c r="C53" s="5"/>
    </row>
    <row r="54" spans="2:9" ht="15" customHeight="1">
      <c r="B54" s="2" t="s">
        <v>99</v>
      </c>
      <c r="C54" s="5" t="s">
        <v>104</v>
      </c>
      <c r="E54" s="72">
        <f t="shared" ref="E54:F54" si="11">E59/D59</f>
        <v>1.0017028949213664</v>
      </c>
      <c r="F54" s="72">
        <f t="shared" si="11"/>
        <v>1.0256000000000001</v>
      </c>
      <c r="G54" s="72">
        <f>(1+G$6)*(1+$G$50)</f>
        <v>0.96856633154184735</v>
      </c>
      <c r="H54" s="72">
        <f t="shared" ref="H54:I56" si="12">(1+H$6)*(1+$G$51)</f>
        <v>1.0249999999999999</v>
      </c>
      <c r="I54" s="72">
        <f t="shared" si="12"/>
        <v>1.0249999999999999</v>
      </c>
    </row>
    <row r="55" spans="2:9" ht="15" customHeight="1">
      <c r="B55" s="2" t="s">
        <v>100</v>
      </c>
      <c r="C55" s="5" t="s">
        <v>104</v>
      </c>
      <c r="E55" s="72">
        <f t="shared" ref="E55:F55" si="13">E60/D60</f>
        <v>1.0493827160493825</v>
      </c>
      <c r="F55" s="72">
        <f t="shared" si="13"/>
        <v>1.0352941176470589</v>
      </c>
      <c r="G55" s="72">
        <f>(1+G$6)*(1+$G$50)</f>
        <v>0.96856633154184735</v>
      </c>
      <c r="H55" s="72">
        <f t="shared" si="12"/>
        <v>1.0249999999999999</v>
      </c>
      <c r="I55" s="72">
        <f t="shared" si="12"/>
        <v>1.0249999999999999</v>
      </c>
    </row>
    <row r="56" spans="2:9" ht="15" customHeight="1">
      <c r="B56" s="2" t="s">
        <v>100</v>
      </c>
      <c r="C56" s="5" t="s">
        <v>104</v>
      </c>
      <c r="E56" s="72">
        <f>E61/D61</f>
        <v>1.0493827160493825</v>
      </c>
      <c r="F56" s="72">
        <f>F61/E61</f>
        <v>1.0372549019607844</v>
      </c>
      <c r="G56" s="72">
        <f>(1+G$6)*(1+$G$50)</f>
        <v>0.96856633154184735</v>
      </c>
      <c r="H56" s="72">
        <f t="shared" si="12"/>
        <v>1.0249999999999999</v>
      </c>
      <c r="I56" s="72">
        <f t="shared" si="12"/>
        <v>1.0249999999999999</v>
      </c>
    </row>
    <row r="57" spans="2:9">
      <c r="C57" s="5"/>
    </row>
    <row r="58" spans="2:9" ht="15.75">
      <c r="B58" s="10" t="s">
        <v>96</v>
      </c>
      <c r="C58" s="5"/>
    </row>
    <row r="59" spans="2:9">
      <c r="B59" s="2" t="s">
        <v>99</v>
      </c>
      <c r="C59" s="5" t="s">
        <v>97</v>
      </c>
      <c r="D59" s="74">
        <f>'3. General Model Inputs'!D87</f>
        <v>99.83</v>
      </c>
      <c r="E59" s="74">
        <f>'3. General Model Inputs'!E87</f>
        <v>100</v>
      </c>
      <c r="F59" s="74">
        <f>'3. General Model Inputs'!F87</f>
        <v>102.56</v>
      </c>
      <c r="G59" s="25">
        <f t="shared" ref="G59:I59" si="14">F59*G54</f>
        <v>99.336162962931866</v>
      </c>
      <c r="H59" s="25">
        <f t="shared" si="14"/>
        <v>101.81956703700516</v>
      </c>
      <c r="I59" s="25">
        <f t="shared" si="14"/>
        <v>104.36505621293028</v>
      </c>
    </row>
    <row r="60" spans="2:9">
      <c r="B60" s="2" t="s">
        <v>100</v>
      </c>
      <c r="C60" s="5" t="s">
        <v>98</v>
      </c>
      <c r="D60" s="74">
        <f>'3. General Model Inputs'!D88</f>
        <v>2.4300000000000002</v>
      </c>
      <c r="E60" s="74">
        <f>'3. General Model Inputs'!E88</f>
        <v>2.5499999999999998</v>
      </c>
      <c r="F60" s="74">
        <f>'3. General Model Inputs'!F88</f>
        <v>2.64</v>
      </c>
      <c r="G60" s="25">
        <f t="shared" ref="G60:I60" si="15">F60*G55</f>
        <v>2.557015115270477</v>
      </c>
      <c r="H60" s="25">
        <f t="shared" si="15"/>
        <v>2.6209404931522386</v>
      </c>
      <c r="I60" s="25">
        <f t="shared" si="15"/>
        <v>2.6864640054810445</v>
      </c>
    </row>
    <row r="61" spans="2:9">
      <c r="B61" s="2" t="s">
        <v>155</v>
      </c>
      <c r="C61" s="5" t="s">
        <v>98</v>
      </c>
      <c r="D61" s="74">
        <f>'3. General Model Inputs'!D89</f>
        <v>4.8600000000000003</v>
      </c>
      <c r="E61" s="74">
        <f>'3. General Model Inputs'!E89</f>
        <v>5.0999999999999996</v>
      </c>
      <c r="F61" s="74">
        <f>'3. General Model Inputs'!F89</f>
        <v>5.29</v>
      </c>
      <c r="G61" s="25">
        <f t="shared" ref="G61:I61" si="16">F61*G56</f>
        <v>5.1237158938563727</v>
      </c>
      <c r="H61" s="25">
        <f t="shared" si="16"/>
        <v>5.251808791202782</v>
      </c>
      <c r="I61" s="25">
        <f t="shared" si="16"/>
        <v>5.3831040109828514</v>
      </c>
    </row>
    <row r="62" spans="2:9">
      <c r="C62" s="5"/>
    </row>
    <row r="63" spans="2:9" ht="15.75">
      <c r="B63" s="10" t="s">
        <v>105</v>
      </c>
      <c r="C63" s="5"/>
    </row>
    <row r="64" spans="2:9">
      <c r="B64" s="2" t="s">
        <v>99</v>
      </c>
      <c r="C64" s="5" t="s">
        <v>106</v>
      </c>
      <c r="E64" s="30">
        <f ca="1">E10*E59</f>
        <v>16295100</v>
      </c>
      <c r="F64" s="30">
        <f t="shared" ref="F64:I64" ca="1" si="17">F10*F59</f>
        <v>17126699.52</v>
      </c>
      <c r="G64" s="30">
        <f t="shared" ca="1" si="17"/>
        <v>16999794.912498381</v>
      </c>
      <c r="H64" s="30">
        <f t="shared" ca="1" si="17"/>
        <v>17856912.02781589</v>
      </c>
      <c r="I64" s="30">
        <f t="shared" ca="1" si="17"/>
        <v>18757322.823037535</v>
      </c>
    </row>
    <row r="65" spans="2:9">
      <c r="B65" s="2" t="s">
        <v>100</v>
      </c>
      <c r="C65" s="5" t="s">
        <v>106</v>
      </c>
      <c r="E65" s="30">
        <f ca="1">E11*E60+E13*D60</f>
        <v>60248752.333375946</v>
      </c>
      <c r="F65" s="30">
        <f t="shared" ref="F65:I65" ca="1" si="18">F11*F60+F13*E60</f>
        <v>64490550.15548975</v>
      </c>
      <c r="G65" s="30">
        <f t="shared" ca="1" si="18"/>
        <v>64976965.310911313</v>
      </c>
      <c r="H65" s="30">
        <f t="shared" ca="1" si="18"/>
        <v>68057993.310673088</v>
      </c>
      <c r="I65" s="30">
        <f t="shared" ca="1" si="18"/>
        <v>71574612.875307873</v>
      </c>
    </row>
    <row r="66" spans="2:9">
      <c r="B66" s="2" t="s">
        <v>155</v>
      </c>
      <c r="C66" s="5" t="s">
        <v>106</v>
      </c>
      <c r="E66" s="30">
        <f t="shared" ref="E66:I66" ca="1" si="19">E12*E61+E14*D61</f>
        <v>92255491.937451452</v>
      </c>
      <c r="F66" s="30">
        <f t="shared" ca="1" si="19"/>
        <v>98158621.103162155</v>
      </c>
      <c r="G66" s="30">
        <f t="shared" ca="1" si="19"/>
        <v>94331776.207943112</v>
      </c>
      <c r="H66" s="30">
        <f t="shared" ca="1" si="19"/>
        <v>95164158.297817424</v>
      </c>
      <c r="I66" s="30">
        <f t="shared" ca="1" si="19"/>
        <v>96867733.810316369</v>
      </c>
    </row>
    <row r="67" spans="2:9">
      <c r="C67" s="5"/>
      <c r="E67" s="73">
        <f ca="1">SUM(E64:E66)</f>
        <v>168799344.27082741</v>
      </c>
      <c r="F67" s="73">
        <f t="shared" ref="F67:I67" ca="1" si="20">SUM(F64:F66)</f>
        <v>179775870.77865189</v>
      </c>
      <c r="G67" s="73">
        <f t="shared" ca="1" si="20"/>
        <v>176308536.43135279</v>
      </c>
      <c r="H67" s="73">
        <f t="shared" ca="1" si="20"/>
        <v>181079063.63630641</v>
      </c>
      <c r="I67" s="73">
        <f t="shared" ca="1" si="20"/>
        <v>187199669.50866178</v>
      </c>
    </row>
    <row r="68" spans="2:9">
      <c r="C68" s="5"/>
      <c r="E68" s="70"/>
      <c r="F68" s="70"/>
      <c r="G68" s="70"/>
      <c r="H68" s="70"/>
      <c r="I68" s="70"/>
    </row>
    <row r="69" spans="2:9" ht="15.75">
      <c r="B69" s="10" t="s">
        <v>109</v>
      </c>
      <c r="C69" s="5"/>
      <c r="E69" s="70"/>
      <c r="F69" s="70"/>
      <c r="G69" s="70"/>
      <c r="H69" s="70"/>
      <c r="I69" s="70"/>
    </row>
    <row r="70" spans="2:9">
      <c r="B70" s="2" t="s">
        <v>110</v>
      </c>
      <c r="C70" s="5" t="s">
        <v>106</v>
      </c>
      <c r="D70" s="30">
        <f ca="1">SUMPRODUCT($E$7:$I$7,$E$48:$I$48)</f>
        <v>778660963.36891568</v>
      </c>
      <c r="E70" s="70"/>
      <c r="F70" s="70"/>
      <c r="G70" s="70"/>
      <c r="H70" s="70"/>
      <c r="I70" s="70"/>
    </row>
    <row r="71" spans="2:9">
      <c r="B71" s="2" t="s">
        <v>111</v>
      </c>
      <c r="C71" s="5" t="s">
        <v>106</v>
      </c>
      <c r="D71" s="30">
        <f ca="1">SUMPRODUCT($E$7:$I$7,$E$67:$I$67)</f>
        <v>778660963.36891556</v>
      </c>
      <c r="E71" s="70"/>
      <c r="F71" s="70"/>
      <c r="G71" s="70"/>
      <c r="H71" s="70"/>
      <c r="I71" s="70"/>
    </row>
    <row r="72" spans="2:9">
      <c r="B72" s="2" t="s">
        <v>112</v>
      </c>
      <c r="C72" s="5" t="s">
        <v>106</v>
      </c>
      <c r="D72" s="30">
        <f ca="1">D70-D71</f>
        <v>0</v>
      </c>
      <c r="E72" s="70"/>
      <c r="F72" s="70"/>
      <c r="G72" s="70"/>
      <c r="H72" s="70"/>
      <c r="I72" s="70"/>
    </row>
    <row r="73" spans="2:9">
      <c r="C73" s="5"/>
    </row>
    <row r="74" spans="2:9">
      <c r="C74" s="5"/>
    </row>
    <row r="75" spans="2:9">
      <c r="B75" s="12" t="s">
        <v>386</v>
      </c>
      <c r="C75" s="40" t="s">
        <v>106</v>
      </c>
      <c r="D75" s="13">
        <f ca="1">SUMPRODUCT($E$7:$I$7,$E$36:$I$36)+SUMPRODUCT($E$7:$I$7,$E$37:$I$37)</f>
        <v>702992233.92941952</v>
      </c>
    </row>
    <row r="76" spans="2:9">
      <c r="C76" s="5"/>
    </row>
    <row r="77" spans="2:9">
      <c r="D77" s="23">
        <f ca="1">1-(D75/D78)</f>
        <v>8.2178708282754087E-13</v>
      </c>
    </row>
    <row r="78" spans="2:9">
      <c r="D78" s="95">
        <v>702992233.92999721</v>
      </c>
    </row>
    <row r="80" spans="2:9">
      <c r="D80" s="30">
        <f ca="1">D78-D75</f>
        <v>5.7768821716308594E-4</v>
      </c>
    </row>
  </sheetData>
  <pageMargins left="0" right="0" top="0" bottom="0" header="0" footer="0"/>
  <pageSetup paperSize="9" scale="85" orientation="landscape" horizontalDpi="4294967292" verticalDpi="4294967292" r:id="rId1"/>
  <legacyDrawing r:id="rId2"/>
  <extLst xmlns:x14="http://schemas.microsoft.com/office/spreadsheetml/2009/9/main">
    <ext uri="{78C0D931-6437-407d-A8EE-F0AAD7539E65}">
      <x14:conditionalFormattings>
        <x14:conditionalFormatting xmlns:xm="http://schemas.microsoft.com/office/excel/2006/main">
          <x14:cfRule type="expression" priority="4" id="{176B2FC9-3574-FB49-9967-F080F8D85A84}">
            <xm:f>'2. Notes and Assumptions'!$D$103="ERROR"</xm:f>
            <x14:dxf>
              <font>
                <strike val="0"/>
                <color rgb="FF000090"/>
              </font>
              <fill>
                <patternFill patternType="darkGrid">
                  <fgColor theme="0"/>
                  <bgColor rgb="FFFF6600"/>
                </patternFill>
              </fill>
            </x14:dxf>
          </x14:cfRule>
          <xm:sqref>I1:XFD1</xm:sqref>
        </x14:conditionalFormatting>
        <x14:conditionalFormatting xmlns:xm="http://schemas.microsoft.com/office/excel/2006/main">
          <x14:cfRule type="expression" priority="3" stopIfTrue="1" id="{E219C0A2-C0DC-F044-8B4A-54CC1617ED27}">
            <xm:f>'2. Notes and Assumptions'!$D$92="ERROR"</xm:f>
            <x14:dxf>
              <font>
                <color theme="0"/>
              </font>
              <fill>
                <patternFill patternType="solid">
                  <fgColor indexed="64"/>
                  <bgColor rgb="FFFF0000"/>
                </patternFill>
              </fill>
            </x14:dxf>
          </x14:cfRule>
          <xm:sqref>I1:XFD1</xm:sqref>
        </x14:conditionalFormatting>
        <x14:conditionalFormatting xmlns:xm="http://schemas.microsoft.com/office/excel/2006/main">
          <x14:cfRule type="expression" priority="1" stopIfTrue="1" id="{A34BE737-13DE-BC49-B054-821351A15FFE}">
            <xm:f>'2. Notes and Assumptions'!$D$92="ERROR"</xm:f>
            <x14:dxf>
              <font>
                <color theme="0"/>
              </font>
              <fill>
                <patternFill patternType="solid">
                  <fgColor indexed="64"/>
                  <bgColor rgb="FFFF0000"/>
                </patternFill>
              </fill>
            </x14:dxf>
          </x14:cfRule>
          <x14:cfRule type="expression" priority="2" id="{32746671-2B08-304C-BF43-40291743774F}">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sheetPr codeName="Sheet18"/>
  <dimension ref="A1:P19"/>
  <sheetViews>
    <sheetView zoomScaleNormal="100" workbookViewId="0">
      <selection activeCell="A15" sqref="A15"/>
    </sheetView>
  </sheetViews>
  <sheetFormatPr defaultColWidth="10.6640625" defaultRowHeight="15"/>
  <cols>
    <col min="1" max="1" width="32.21875" style="11" customWidth="1"/>
    <col min="2" max="2" width="29" style="2" customWidth="1"/>
    <col min="3" max="3" width="13.109375" style="2" customWidth="1"/>
    <col min="4" max="4" width="14.6640625" style="2" customWidth="1"/>
    <col min="5" max="5" width="16.109375" style="2" customWidth="1"/>
    <col min="6" max="6" width="13.33203125" style="2" customWidth="1"/>
    <col min="7" max="7" width="5" style="2" customWidth="1"/>
    <col min="8" max="9" width="10.6640625" style="2"/>
    <col min="10" max="10" width="14.21875" style="2" customWidth="1"/>
    <col min="11" max="11" width="13.44140625" style="2" customWidth="1"/>
    <col min="12" max="12" width="17.109375" style="2" customWidth="1"/>
    <col min="13" max="13" width="16.88671875" style="2" customWidth="1"/>
    <col min="14" max="14" width="10.6640625" style="2"/>
    <col min="15" max="15" width="18.6640625" style="2" customWidth="1"/>
    <col min="16" max="16" width="18.21875" style="2" customWidth="1"/>
    <col min="17" max="16384" width="10.6640625" style="2"/>
  </cols>
  <sheetData>
    <row r="1" spans="1:16" s="6" customFormat="1" ht="21" customHeight="1">
      <c r="A1" s="1" t="s">
        <v>115</v>
      </c>
    </row>
    <row r="2" spans="1:16" ht="18" customHeight="1">
      <c r="A2" s="3" t="str">
        <f ca="1">MID(CELL("filename",A1),FIND("]",CELL("filename",A1))+1,LEN(CELL("filename",A1))-FIND("]",CELL("filename",A1)))</f>
        <v>18. Sewer-Existing Assets Input</v>
      </c>
      <c r="B2" s="93"/>
      <c r="C2" s="93"/>
      <c r="D2" s="93"/>
      <c r="E2" s="93"/>
      <c r="F2" s="93"/>
      <c r="G2" s="93"/>
      <c r="H2" s="93"/>
      <c r="I2" s="93"/>
    </row>
    <row r="3" spans="1:16" ht="15.75">
      <c r="B3" s="10" t="s">
        <v>168</v>
      </c>
    </row>
    <row r="4" spans="1:16" ht="49.5" customHeight="1">
      <c r="B4" s="51" t="s">
        <v>46</v>
      </c>
      <c r="C4" s="104" t="s">
        <v>50</v>
      </c>
      <c r="D4" s="104" t="s">
        <v>165</v>
      </c>
      <c r="E4" s="104" t="s">
        <v>166</v>
      </c>
      <c r="F4" s="104" t="s">
        <v>167</v>
      </c>
      <c r="G4" s="5"/>
      <c r="H4" s="104" t="s">
        <v>59</v>
      </c>
      <c r="J4" s="104" t="s">
        <v>165</v>
      </c>
      <c r="K4" s="104" t="s">
        <v>165</v>
      </c>
      <c r="L4" s="104" t="s">
        <v>165</v>
      </c>
      <c r="M4" s="104" t="s">
        <v>165</v>
      </c>
      <c r="N4" s="5"/>
      <c r="O4" s="104" t="s">
        <v>458</v>
      </c>
      <c r="P4" s="104" t="s">
        <v>458</v>
      </c>
    </row>
    <row r="5" spans="1:16">
      <c r="B5" s="53"/>
      <c r="C5" s="105" t="s">
        <v>106</v>
      </c>
      <c r="D5" s="105" t="s">
        <v>47</v>
      </c>
      <c r="E5" s="105" t="s">
        <v>106</v>
      </c>
      <c r="F5" s="105" t="s">
        <v>47</v>
      </c>
      <c r="G5" s="5"/>
      <c r="H5" s="105" t="s">
        <v>60</v>
      </c>
      <c r="J5" s="2" t="s">
        <v>208</v>
      </c>
      <c r="K5" s="2" t="s">
        <v>294</v>
      </c>
      <c r="L5" s="2" t="s">
        <v>246</v>
      </c>
      <c r="M5" s="2" t="s">
        <v>369</v>
      </c>
      <c r="O5" s="2" t="s">
        <v>246</v>
      </c>
      <c r="P5" s="2" t="s">
        <v>369</v>
      </c>
    </row>
    <row r="6" spans="1:16">
      <c r="A6" s="35">
        <f>'2. Notes and Assumptions'!B65</f>
        <v>41</v>
      </c>
      <c r="B6" s="135" t="s">
        <v>243</v>
      </c>
      <c r="C6" s="54">
        <f>HLOOKUP('2. Notes and Assumptions'!$C$15,$O$5:$P$6,ROWS(J$5:$J6),FALSE)</f>
        <v>656716581.41487098</v>
      </c>
      <c r="D6" s="54">
        <f>HLOOKUP('2. Notes and Assumptions'!$C$16,$J$5:$M$6,ROWS($J$5:J6),FALSE)</f>
        <v>41.279041364010915</v>
      </c>
      <c r="E6" s="131">
        <f>1000000*392.988714662195</f>
        <v>392988714.66219497</v>
      </c>
      <c r="F6" s="131">
        <v>24.800039666382258</v>
      </c>
      <c r="H6" s="131">
        <v>1</v>
      </c>
      <c r="J6" s="132">
        <v>41.491754996155755</v>
      </c>
      <c r="K6" s="131">
        <v>34.198888856076493</v>
      </c>
      <c r="L6" s="131">
        <v>41.279041364010915</v>
      </c>
      <c r="M6" s="131">
        <v>41.279041364010915</v>
      </c>
      <c r="N6" s="129"/>
      <c r="O6" s="131">
        <v>656716581.41487098</v>
      </c>
      <c r="P6" s="131">
        <v>656716581.41487098</v>
      </c>
    </row>
    <row r="7" spans="1:16">
      <c r="A7" s="35">
        <f>'2. Notes and Assumptions'!B66</f>
        <v>42</v>
      </c>
      <c r="B7" s="129" t="s">
        <v>58</v>
      </c>
      <c r="C7" s="131"/>
      <c r="D7" s="131"/>
      <c r="E7" s="131"/>
      <c r="F7" s="131"/>
      <c r="H7" s="131">
        <v>1</v>
      </c>
    </row>
    <row r="8" spans="1:16">
      <c r="B8" s="129" t="s">
        <v>58</v>
      </c>
      <c r="C8" s="131"/>
      <c r="D8" s="131"/>
      <c r="E8" s="131"/>
      <c r="F8" s="131"/>
      <c r="H8" s="131">
        <v>1</v>
      </c>
    </row>
    <row r="9" spans="1:16">
      <c r="B9" s="129" t="s">
        <v>58</v>
      </c>
      <c r="C9" s="131"/>
      <c r="D9" s="131"/>
      <c r="E9" s="131"/>
      <c r="F9" s="131"/>
      <c r="H9" s="131">
        <v>1</v>
      </c>
    </row>
    <row r="10" spans="1:16">
      <c r="B10" s="129" t="s">
        <v>58</v>
      </c>
      <c r="C10" s="131"/>
      <c r="D10" s="131"/>
      <c r="E10" s="131"/>
      <c r="F10" s="131"/>
      <c r="H10" s="131">
        <v>1</v>
      </c>
    </row>
    <row r="11" spans="1:16">
      <c r="B11" s="129" t="s">
        <v>58</v>
      </c>
      <c r="C11" s="131"/>
      <c r="D11" s="131"/>
      <c r="E11" s="131"/>
      <c r="F11" s="131"/>
      <c r="H11" s="131">
        <v>1</v>
      </c>
    </row>
    <row r="12" spans="1:16">
      <c r="B12" s="129" t="s">
        <v>58</v>
      </c>
      <c r="C12" s="131"/>
      <c r="D12" s="131"/>
      <c r="E12" s="131"/>
      <c r="F12" s="131"/>
      <c r="H12" s="131">
        <v>1</v>
      </c>
    </row>
    <row r="13" spans="1:16">
      <c r="B13" s="129" t="s">
        <v>58</v>
      </c>
      <c r="C13" s="131"/>
      <c r="D13" s="131"/>
      <c r="E13" s="131"/>
      <c r="F13" s="131"/>
      <c r="H13" s="131">
        <v>1</v>
      </c>
    </row>
    <row r="14" spans="1:16">
      <c r="B14" s="129" t="s">
        <v>58</v>
      </c>
      <c r="C14" s="131"/>
      <c r="D14" s="131"/>
      <c r="E14" s="131"/>
      <c r="F14" s="131"/>
      <c r="H14" s="131">
        <v>1</v>
      </c>
    </row>
    <row r="15" spans="1:16">
      <c r="B15" s="129" t="s">
        <v>58</v>
      </c>
      <c r="C15" s="131"/>
      <c r="D15" s="131"/>
      <c r="E15" s="131"/>
      <c r="F15" s="131"/>
      <c r="H15" s="131">
        <v>1</v>
      </c>
    </row>
    <row r="16" spans="1:16">
      <c r="B16" s="129" t="s">
        <v>58</v>
      </c>
      <c r="C16" s="131"/>
      <c r="D16" s="131"/>
      <c r="E16" s="131"/>
      <c r="F16" s="131"/>
      <c r="H16" s="131">
        <v>1</v>
      </c>
    </row>
    <row r="17" spans="2:8">
      <c r="B17" s="129" t="s">
        <v>58</v>
      </c>
      <c r="C17" s="131"/>
      <c r="D17" s="131"/>
      <c r="E17" s="131"/>
      <c r="F17" s="131"/>
      <c r="H17" s="131">
        <v>1</v>
      </c>
    </row>
    <row r="18" spans="2:8">
      <c r="B18" s="129" t="s">
        <v>58</v>
      </c>
      <c r="C18" s="131"/>
      <c r="D18" s="131"/>
      <c r="E18" s="131"/>
      <c r="F18" s="131"/>
      <c r="H18" s="131">
        <v>1</v>
      </c>
    </row>
    <row r="19" spans="2:8">
      <c r="B19" s="129" t="s">
        <v>58</v>
      </c>
      <c r="C19" s="131"/>
      <c r="D19" s="131"/>
      <c r="E19" s="131"/>
      <c r="F19" s="131"/>
      <c r="H19" s="131">
        <v>1</v>
      </c>
    </row>
  </sheetData>
  <pageMargins left="0" right="0" top="0" bottom="0" header="0" footer="0"/>
  <pageSetup paperSize="9" scale="90"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E101DAF9-F404-F94A-BD79-B9E841A30060}">
            <xm:f>'2. Notes and Assumptions'!$D$92="ERROR"</xm:f>
            <x14:dxf>
              <font>
                <color theme="0"/>
              </font>
              <fill>
                <patternFill patternType="solid">
                  <fgColor indexed="64"/>
                  <bgColor rgb="FFFF0000"/>
                </patternFill>
              </fill>
            </x14:dxf>
          </x14:cfRule>
          <x14:cfRule type="expression" priority="2" id="{B6C21425-CABB-7D42-BCCE-E6DFAE79AC56}">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sheetPr codeName="Sheet26"/>
  <dimension ref="A1:X166"/>
  <sheetViews>
    <sheetView topLeftCell="D1" zoomScaleNormal="100" workbookViewId="0">
      <pane ySplit="3" topLeftCell="A4" activePane="bottomLeft" state="frozen"/>
      <selection pane="bottomLeft" activeCell="L2" sqref="L2:O2"/>
    </sheetView>
  </sheetViews>
  <sheetFormatPr defaultColWidth="10.6640625" defaultRowHeight="15"/>
  <cols>
    <col min="1" max="1" width="30.77734375" style="35" customWidth="1"/>
    <col min="2" max="2" width="14" style="2" customWidth="1"/>
    <col min="3" max="3" width="19.33203125" style="2" customWidth="1"/>
    <col min="4" max="4" width="14.109375" style="56" customWidth="1"/>
    <col min="5" max="5" width="8.5546875" style="56" customWidth="1"/>
    <col min="6" max="6" width="23.88671875" style="2" customWidth="1"/>
    <col min="7" max="7" width="6.6640625" style="2" customWidth="1"/>
    <col min="8" max="8" width="7.44140625" style="2" customWidth="1"/>
    <col min="9" max="9" width="6.88671875" style="2" customWidth="1"/>
    <col min="10" max="10" width="9.6640625" style="2" customWidth="1"/>
    <col min="11" max="11" width="10.6640625" style="2"/>
    <col min="12" max="12" width="6.44140625" style="2" customWidth="1"/>
    <col min="13" max="13" width="12.77734375" style="2" customWidth="1"/>
    <col min="14" max="14" width="17.109375" style="2" customWidth="1"/>
    <col min="15" max="15" width="17.44140625" style="2" customWidth="1"/>
    <col min="16" max="16" width="10.6640625" style="2"/>
    <col min="17" max="17" width="25" style="2" customWidth="1"/>
    <col min="18" max="18" width="23.77734375" style="2" customWidth="1"/>
    <col min="19" max="19" width="10.6640625" style="2"/>
    <col min="20" max="24" width="10.6640625" style="6"/>
    <col min="25" max="16384" width="10.6640625" style="2"/>
  </cols>
  <sheetData>
    <row r="1" spans="1:23" s="6" customFormat="1" ht="22.5" customHeight="1">
      <c r="A1" s="92" t="s">
        <v>115</v>
      </c>
      <c r="B1" s="92"/>
      <c r="C1" s="92"/>
      <c r="D1" s="92"/>
      <c r="E1" s="92"/>
      <c r="F1" s="92"/>
      <c r="G1" s="92"/>
      <c r="H1" s="92"/>
      <c r="I1" s="92"/>
      <c r="J1" s="92"/>
    </row>
    <row r="2" spans="1:23" ht="18" customHeight="1">
      <c r="A2" s="3" t="str">
        <f ca="1">MID(CELL("filename",A1),FIND("]",CELL("filename",A1))+1,LEN(CELL("filename",A1))-FIND("]",CELL("filename",A1)))</f>
        <v>19. Sewer - Capex Input</v>
      </c>
      <c r="B2" s="3"/>
      <c r="C2" s="3"/>
      <c r="D2" s="3"/>
      <c r="E2" s="3"/>
      <c r="F2" s="3"/>
      <c r="G2" s="3"/>
      <c r="H2" s="3"/>
      <c r="I2" s="3"/>
      <c r="J2" s="3"/>
    </row>
    <row r="3" spans="1:23" ht="32.25" customHeight="1">
      <c r="B3" s="58" t="s">
        <v>123</v>
      </c>
      <c r="C3" s="58" t="s">
        <v>124</v>
      </c>
      <c r="D3" s="59" t="s">
        <v>125</v>
      </c>
      <c r="E3" s="59" t="s">
        <v>126</v>
      </c>
      <c r="F3" s="58" t="s">
        <v>127</v>
      </c>
      <c r="G3" s="57" t="s">
        <v>128</v>
      </c>
      <c r="H3" s="57" t="s">
        <v>129</v>
      </c>
      <c r="I3" s="57" t="s">
        <v>130</v>
      </c>
      <c r="J3" s="57" t="s">
        <v>131</v>
      </c>
      <c r="L3" s="2" t="s">
        <v>208</v>
      </c>
      <c r="M3" s="2" t="s">
        <v>294</v>
      </c>
      <c r="N3" s="2" t="s">
        <v>246</v>
      </c>
      <c r="O3" s="2" t="s">
        <v>369</v>
      </c>
      <c r="T3" s="60" t="s">
        <v>356</v>
      </c>
      <c r="U3" s="60" t="s">
        <v>357</v>
      </c>
      <c r="V3" s="60" t="s">
        <v>356</v>
      </c>
      <c r="W3" s="60" t="s">
        <v>357</v>
      </c>
    </row>
    <row r="4" spans="1:23">
      <c r="A4" s="35">
        <f>'2. Notes and Assumptions'!B32</f>
        <v>10</v>
      </c>
      <c r="B4" s="133">
        <v>2</v>
      </c>
      <c r="C4" s="133">
        <v>1</v>
      </c>
      <c r="D4" s="134" t="s">
        <v>137</v>
      </c>
      <c r="E4" s="96"/>
      <c r="F4" s="97"/>
      <c r="G4" s="61">
        <f>HLOOKUP('2. Notes and Assumptions'!$C$16,$L$3:$O$162,ROWS($L$3:L4),FALSE)</f>
        <v>60</v>
      </c>
      <c r="H4" s="61">
        <f>G4</f>
        <v>60</v>
      </c>
      <c r="I4" s="127">
        <v>1</v>
      </c>
      <c r="J4" s="127">
        <v>165541.26499999998</v>
      </c>
      <c r="L4" s="127">
        <v>66</v>
      </c>
      <c r="M4" s="127">
        <v>32.169342240409513</v>
      </c>
      <c r="N4" s="127">
        <v>60</v>
      </c>
      <c r="O4" s="127">
        <v>60</v>
      </c>
      <c r="T4" s="62">
        <f>IF($I4=4,J4,0)</f>
        <v>0</v>
      </c>
      <c r="U4" s="62">
        <f>IF($I4=4,M4,0)</f>
        <v>0</v>
      </c>
      <c r="V4" s="62">
        <f>IF($I4=5,J4,0)</f>
        <v>0</v>
      </c>
      <c r="W4" s="62">
        <f>IF($I4=5,M4,0)</f>
        <v>0</v>
      </c>
    </row>
    <row r="5" spans="1:23">
      <c r="B5" s="133">
        <v>4</v>
      </c>
      <c r="C5" s="133">
        <v>1</v>
      </c>
      <c r="D5" s="134" t="s">
        <v>137</v>
      </c>
      <c r="E5" s="96"/>
      <c r="F5" s="97"/>
      <c r="G5" s="61">
        <f>HLOOKUP('2. Notes and Assumptions'!$C$16,$L$3:$O$162,ROWS($L$3:L5),FALSE)</f>
        <v>60</v>
      </c>
      <c r="H5" s="61">
        <f t="shared" ref="H5:H68" si="0">G5</f>
        <v>60</v>
      </c>
      <c r="I5" s="127">
        <v>2</v>
      </c>
      <c r="J5" s="127">
        <v>508985.67499999999</v>
      </c>
      <c r="L5" s="127">
        <v>66</v>
      </c>
      <c r="M5" s="127">
        <v>32.169342240409513</v>
      </c>
      <c r="N5" s="127">
        <v>60</v>
      </c>
      <c r="O5" s="127">
        <v>60</v>
      </c>
      <c r="T5" s="62">
        <f t="shared" ref="T5:T7" si="1">IF($I5=4,J5,0)</f>
        <v>0</v>
      </c>
      <c r="U5" s="62">
        <f t="shared" ref="U5:U7" si="2">IF($I5=4,M5,0)</f>
        <v>0</v>
      </c>
      <c r="V5" s="62">
        <f t="shared" ref="V5:V7" si="3">IF($I5=5,J5,0)</f>
        <v>0</v>
      </c>
      <c r="W5" s="62">
        <f t="shared" ref="W5:W7" si="4">IF($I5=5,M5,0)</f>
        <v>0</v>
      </c>
    </row>
    <row r="6" spans="1:23">
      <c r="B6" s="133">
        <v>6</v>
      </c>
      <c r="C6" s="133">
        <v>1</v>
      </c>
      <c r="D6" s="134" t="s">
        <v>137</v>
      </c>
      <c r="E6" s="96"/>
      <c r="F6" s="97"/>
      <c r="G6" s="61">
        <f>HLOOKUP('2. Notes and Assumptions'!$C$16,$L$3:$O$162,ROWS($L$3:L6),FALSE)</f>
        <v>60</v>
      </c>
      <c r="H6" s="61">
        <f t="shared" si="0"/>
        <v>60</v>
      </c>
      <c r="I6" s="127">
        <v>3</v>
      </c>
      <c r="J6" s="127">
        <v>105433.5</v>
      </c>
      <c r="L6" s="127">
        <v>66</v>
      </c>
      <c r="M6" s="127">
        <v>32.169342240409513</v>
      </c>
      <c r="N6" s="127">
        <v>60</v>
      </c>
      <c r="O6" s="127">
        <v>60</v>
      </c>
      <c r="T6" s="62">
        <f t="shared" si="1"/>
        <v>0</v>
      </c>
      <c r="U6" s="62">
        <f t="shared" si="2"/>
        <v>0</v>
      </c>
      <c r="V6" s="62">
        <f t="shared" si="3"/>
        <v>0</v>
      </c>
      <c r="W6" s="62">
        <f t="shared" si="4"/>
        <v>0</v>
      </c>
    </row>
    <row r="7" spans="1:23">
      <c r="B7" s="133">
        <v>12</v>
      </c>
      <c r="C7" s="133">
        <v>2</v>
      </c>
      <c r="D7" s="134" t="s">
        <v>137</v>
      </c>
      <c r="E7" s="96"/>
      <c r="F7" s="97"/>
      <c r="G7" s="61">
        <f>HLOOKUP('2. Notes and Assumptions'!$C$16,$L$3:$O$162,ROWS($L$3:L7),FALSE)</f>
        <v>15</v>
      </c>
      <c r="H7" s="61">
        <f t="shared" si="0"/>
        <v>15</v>
      </c>
      <c r="I7" s="127">
        <v>1</v>
      </c>
      <c r="J7" s="127">
        <v>98315.540000000008</v>
      </c>
      <c r="L7" s="127">
        <v>66</v>
      </c>
      <c r="M7" s="127">
        <v>32.169342240409513</v>
      </c>
      <c r="N7" s="127">
        <v>15</v>
      </c>
      <c r="O7" s="127">
        <v>15</v>
      </c>
      <c r="T7" s="62">
        <f t="shared" si="1"/>
        <v>0</v>
      </c>
      <c r="U7" s="62">
        <f t="shared" si="2"/>
        <v>0</v>
      </c>
      <c r="V7" s="62">
        <f t="shared" si="3"/>
        <v>0</v>
      </c>
      <c r="W7" s="62">
        <f t="shared" si="4"/>
        <v>0</v>
      </c>
    </row>
    <row r="8" spans="1:23">
      <c r="B8" s="133">
        <v>14</v>
      </c>
      <c r="C8" s="133">
        <v>2</v>
      </c>
      <c r="D8" s="134" t="s">
        <v>137</v>
      </c>
      <c r="E8" s="96"/>
      <c r="F8" s="97"/>
      <c r="G8" s="61">
        <f>HLOOKUP('2. Notes and Assumptions'!$C$16,$L$3:$O$162,ROWS($L$3:L8),FALSE)</f>
        <v>15</v>
      </c>
      <c r="H8" s="61">
        <f t="shared" si="0"/>
        <v>15</v>
      </c>
      <c r="I8" s="127">
        <v>2</v>
      </c>
      <c r="J8" s="127">
        <v>4229.0950000000003</v>
      </c>
      <c r="L8" s="127">
        <v>66</v>
      </c>
      <c r="M8" s="127">
        <v>32.169342240409513</v>
      </c>
      <c r="N8" s="127">
        <v>15</v>
      </c>
      <c r="O8" s="127">
        <v>15</v>
      </c>
      <c r="T8" s="62">
        <f t="shared" ref="T8:T71" si="5">IF($I8=4,J8,0)</f>
        <v>0</v>
      </c>
      <c r="U8" s="62">
        <f t="shared" ref="U8:U71" si="6">IF($I8=4,M8,0)</f>
        <v>0</v>
      </c>
      <c r="V8" s="62">
        <f t="shared" ref="V8:V71" si="7">IF($I8=5,J8,0)</f>
        <v>0</v>
      </c>
      <c r="W8" s="62">
        <f t="shared" ref="W8:W71" si="8">IF($I8=5,M8,0)</f>
        <v>0</v>
      </c>
    </row>
    <row r="9" spans="1:23">
      <c r="B9" s="133">
        <v>22</v>
      </c>
      <c r="C9" s="133">
        <v>3</v>
      </c>
      <c r="D9" s="134" t="s">
        <v>137</v>
      </c>
      <c r="E9" s="96"/>
      <c r="F9" s="97"/>
      <c r="G9" s="61">
        <f>HLOOKUP('2. Notes and Assumptions'!$C$16,$L$3:$O$162,ROWS($L$3:L9),FALSE)</f>
        <v>60</v>
      </c>
      <c r="H9" s="61">
        <f t="shared" si="0"/>
        <v>60</v>
      </c>
      <c r="I9" s="127">
        <v>1</v>
      </c>
      <c r="J9" s="127">
        <v>273176.2</v>
      </c>
      <c r="L9" s="127">
        <v>66</v>
      </c>
      <c r="M9" s="127">
        <v>32.169342240409513</v>
      </c>
      <c r="N9" s="127">
        <v>60</v>
      </c>
      <c r="O9" s="127">
        <v>60</v>
      </c>
      <c r="T9" s="62">
        <f t="shared" si="5"/>
        <v>0</v>
      </c>
      <c r="U9" s="62">
        <f t="shared" si="6"/>
        <v>0</v>
      </c>
      <c r="V9" s="62">
        <f t="shared" si="7"/>
        <v>0</v>
      </c>
      <c r="W9" s="62">
        <f t="shared" si="8"/>
        <v>0</v>
      </c>
    </row>
    <row r="10" spans="1:23">
      <c r="B10" s="133">
        <v>24</v>
      </c>
      <c r="C10" s="133">
        <v>3</v>
      </c>
      <c r="D10" s="134" t="s">
        <v>137</v>
      </c>
      <c r="E10" s="96"/>
      <c r="F10" s="97"/>
      <c r="G10" s="61">
        <f>HLOOKUP('2. Notes and Assumptions'!$C$16,$L$3:$O$162,ROWS($L$3:L10),FALSE)</f>
        <v>60</v>
      </c>
      <c r="H10" s="61">
        <f t="shared" si="0"/>
        <v>60</v>
      </c>
      <c r="I10" s="127">
        <v>2</v>
      </c>
      <c r="J10" s="127">
        <v>1836153.4933333334</v>
      </c>
      <c r="L10" s="127">
        <v>66</v>
      </c>
      <c r="M10" s="127">
        <v>32.169342240409513</v>
      </c>
      <c r="N10" s="127">
        <v>60</v>
      </c>
      <c r="O10" s="127">
        <v>60</v>
      </c>
      <c r="T10" s="62">
        <f t="shared" si="5"/>
        <v>0</v>
      </c>
      <c r="U10" s="62">
        <f t="shared" si="6"/>
        <v>0</v>
      </c>
      <c r="V10" s="62">
        <f t="shared" si="7"/>
        <v>0</v>
      </c>
      <c r="W10" s="62">
        <f t="shared" si="8"/>
        <v>0</v>
      </c>
    </row>
    <row r="11" spans="1:23">
      <c r="B11" s="133">
        <v>26</v>
      </c>
      <c r="C11" s="133">
        <v>3</v>
      </c>
      <c r="D11" s="134" t="s">
        <v>137</v>
      </c>
      <c r="E11" s="96"/>
      <c r="F11" s="97"/>
      <c r="G11" s="61">
        <f>HLOOKUP('2. Notes and Assumptions'!$C$16,$L$3:$O$162,ROWS($L$3:L11),FALSE)</f>
        <v>60</v>
      </c>
      <c r="H11" s="61">
        <f t="shared" si="0"/>
        <v>60</v>
      </c>
      <c r="I11" s="127">
        <v>3</v>
      </c>
      <c r="J11" s="127">
        <v>4350000</v>
      </c>
      <c r="L11" s="127">
        <v>66</v>
      </c>
      <c r="M11" s="127">
        <v>32.169342240409513</v>
      </c>
      <c r="N11" s="127">
        <v>60</v>
      </c>
      <c r="O11" s="127">
        <v>60</v>
      </c>
      <c r="T11" s="62">
        <f t="shared" si="5"/>
        <v>0</v>
      </c>
      <c r="U11" s="62">
        <f t="shared" si="6"/>
        <v>0</v>
      </c>
      <c r="V11" s="62">
        <f t="shared" si="7"/>
        <v>0</v>
      </c>
      <c r="W11" s="62">
        <f t="shared" si="8"/>
        <v>0</v>
      </c>
    </row>
    <row r="12" spans="1:23">
      <c r="B12" s="133">
        <v>32</v>
      </c>
      <c r="C12" s="133">
        <v>4</v>
      </c>
      <c r="D12" s="134" t="s">
        <v>137</v>
      </c>
      <c r="E12" s="96"/>
      <c r="F12" s="97"/>
      <c r="G12" s="61">
        <f>HLOOKUP('2. Notes and Assumptions'!$C$16,$L$3:$O$162,ROWS($L$3:L12),FALSE)</f>
        <v>30</v>
      </c>
      <c r="H12" s="61">
        <f t="shared" si="0"/>
        <v>30</v>
      </c>
      <c r="I12" s="127">
        <v>1</v>
      </c>
      <c r="J12" s="127">
        <v>2321610.9</v>
      </c>
      <c r="L12" s="127">
        <v>66</v>
      </c>
      <c r="M12" s="127">
        <v>32.169342240409513</v>
      </c>
      <c r="N12" s="127">
        <v>30</v>
      </c>
      <c r="O12" s="127">
        <v>30</v>
      </c>
      <c r="T12" s="62">
        <f t="shared" si="5"/>
        <v>0</v>
      </c>
      <c r="U12" s="62">
        <f t="shared" si="6"/>
        <v>0</v>
      </c>
      <c r="V12" s="62">
        <f t="shared" si="7"/>
        <v>0</v>
      </c>
      <c r="W12" s="62">
        <f t="shared" si="8"/>
        <v>0</v>
      </c>
    </row>
    <row r="13" spans="1:23">
      <c r="B13" s="133">
        <v>34</v>
      </c>
      <c r="C13" s="133">
        <v>4</v>
      </c>
      <c r="D13" s="134" t="s">
        <v>137</v>
      </c>
      <c r="E13" s="96"/>
      <c r="F13" s="97"/>
      <c r="G13" s="61">
        <f>HLOOKUP('2. Notes and Assumptions'!$C$16,$L$3:$O$162,ROWS($L$3:L13),FALSE)</f>
        <v>30</v>
      </c>
      <c r="H13" s="61">
        <f t="shared" si="0"/>
        <v>30</v>
      </c>
      <c r="I13" s="127">
        <v>2</v>
      </c>
      <c r="J13" s="127">
        <v>2287101.7799999998</v>
      </c>
      <c r="L13" s="127">
        <v>66</v>
      </c>
      <c r="M13" s="127">
        <v>32.169342240409513</v>
      </c>
      <c r="N13" s="127">
        <v>30</v>
      </c>
      <c r="O13" s="127">
        <v>30</v>
      </c>
      <c r="T13" s="62">
        <f t="shared" si="5"/>
        <v>0</v>
      </c>
      <c r="U13" s="62">
        <f t="shared" si="6"/>
        <v>0</v>
      </c>
      <c r="V13" s="62">
        <f t="shared" si="7"/>
        <v>0</v>
      </c>
      <c r="W13" s="62">
        <f t="shared" si="8"/>
        <v>0</v>
      </c>
    </row>
    <row r="14" spans="1:23">
      <c r="B14" s="133">
        <v>36</v>
      </c>
      <c r="C14" s="133">
        <v>4</v>
      </c>
      <c r="D14" s="134" t="s">
        <v>137</v>
      </c>
      <c r="E14" s="96"/>
      <c r="F14" s="97"/>
      <c r="G14" s="61">
        <f>HLOOKUP('2. Notes and Assumptions'!$C$16,$L$3:$O$162,ROWS($L$3:L14),FALSE)</f>
        <v>30</v>
      </c>
      <c r="H14" s="61">
        <f t="shared" si="0"/>
        <v>30</v>
      </c>
      <c r="I14" s="127">
        <v>3</v>
      </c>
      <c r="J14" s="127">
        <v>5196339</v>
      </c>
      <c r="L14" s="127">
        <v>66</v>
      </c>
      <c r="M14" s="127">
        <v>32.169342240409513</v>
      </c>
      <c r="N14" s="127">
        <v>30</v>
      </c>
      <c r="O14" s="127">
        <v>30</v>
      </c>
      <c r="T14" s="62">
        <f t="shared" si="5"/>
        <v>0</v>
      </c>
      <c r="U14" s="62">
        <f t="shared" si="6"/>
        <v>0</v>
      </c>
      <c r="V14" s="62">
        <f t="shared" si="7"/>
        <v>0</v>
      </c>
      <c r="W14" s="62">
        <f t="shared" si="8"/>
        <v>0</v>
      </c>
    </row>
    <row r="15" spans="1:23">
      <c r="B15" s="133">
        <v>38</v>
      </c>
      <c r="C15" s="133">
        <v>4</v>
      </c>
      <c r="D15" s="134" t="s">
        <v>137</v>
      </c>
      <c r="E15" s="96"/>
      <c r="F15" s="97"/>
      <c r="G15" s="61">
        <f>HLOOKUP('2. Notes and Assumptions'!$C$16,$L$3:$O$162,ROWS($L$3:L15),FALSE)</f>
        <v>30</v>
      </c>
      <c r="H15" s="61">
        <f t="shared" si="0"/>
        <v>30</v>
      </c>
      <c r="I15" s="127">
        <v>4</v>
      </c>
      <c r="J15" s="127">
        <v>39654411</v>
      </c>
      <c r="L15" s="127">
        <v>66</v>
      </c>
      <c r="M15" s="127">
        <v>32.169342240409513</v>
      </c>
      <c r="N15" s="127">
        <v>30</v>
      </c>
      <c r="O15" s="127">
        <v>30</v>
      </c>
      <c r="T15" s="62">
        <f t="shared" si="5"/>
        <v>39654411</v>
      </c>
      <c r="U15" s="62">
        <f t="shared" si="6"/>
        <v>32.169342240409513</v>
      </c>
      <c r="V15" s="62">
        <f t="shared" si="7"/>
        <v>0</v>
      </c>
      <c r="W15" s="62">
        <f t="shared" si="8"/>
        <v>0</v>
      </c>
    </row>
    <row r="16" spans="1:23">
      <c r="B16" s="133">
        <v>40</v>
      </c>
      <c r="C16" s="133">
        <v>4</v>
      </c>
      <c r="D16" s="134" t="s">
        <v>137</v>
      </c>
      <c r="E16" s="96"/>
      <c r="F16" s="97"/>
      <c r="G16" s="61">
        <f>HLOOKUP('2. Notes and Assumptions'!$C$16,$L$3:$O$162,ROWS($L$3:L16),FALSE)</f>
        <v>30</v>
      </c>
      <c r="H16" s="61">
        <f t="shared" si="0"/>
        <v>30</v>
      </c>
      <c r="I16" s="127">
        <v>5</v>
      </c>
      <c r="J16" s="127">
        <v>13949367</v>
      </c>
      <c r="L16" s="127">
        <v>66</v>
      </c>
      <c r="M16" s="127">
        <v>32.169342240409513</v>
      </c>
      <c r="N16" s="127">
        <v>30</v>
      </c>
      <c r="O16" s="127">
        <v>30</v>
      </c>
      <c r="T16" s="62">
        <f t="shared" si="5"/>
        <v>0</v>
      </c>
      <c r="U16" s="62">
        <f t="shared" si="6"/>
        <v>0</v>
      </c>
      <c r="V16" s="62">
        <f t="shared" si="7"/>
        <v>13949367</v>
      </c>
      <c r="W16" s="62">
        <f t="shared" si="8"/>
        <v>32.169342240409513</v>
      </c>
    </row>
    <row r="17" spans="2:23">
      <c r="B17" s="133">
        <v>44</v>
      </c>
      <c r="C17" s="133">
        <v>5</v>
      </c>
      <c r="D17" s="134" t="s">
        <v>137</v>
      </c>
      <c r="E17" s="96"/>
      <c r="F17" s="97"/>
      <c r="G17" s="61">
        <f>HLOOKUP('2. Notes and Assumptions'!$C$16,$L$3:$O$162,ROWS($L$3:L17),FALSE)</f>
        <v>30</v>
      </c>
      <c r="H17" s="61">
        <f t="shared" si="0"/>
        <v>30</v>
      </c>
      <c r="I17" s="127">
        <v>2</v>
      </c>
      <c r="J17" s="127">
        <v>9715392</v>
      </c>
      <c r="L17" s="127">
        <v>66</v>
      </c>
      <c r="M17" s="127">
        <v>32.169342240409513</v>
      </c>
      <c r="N17" s="127">
        <v>30</v>
      </c>
      <c r="O17" s="127">
        <v>30</v>
      </c>
      <c r="T17" s="62">
        <f t="shared" si="5"/>
        <v>0</v>
      </c>
      <c r="U17" s="62">
        <f t="shared" si="6"/>
        <v>0</v>
      </c>
      <c r="V17" s="62">
        <f t="shared" si="7"/>
        <v>0</v>
      </c>
      <c r="W17" s="62">
        <f t="shared" si="8"/>
        <v>0</v>
      </c>
    </row>
    <row r="18" spans="2:23">
      <c r="B18" s="133">
        <v>46</v>
      </c>
      <c r="C18" s="133">
        <v>5</v>
      </c>
      <c r="D18" s="134" t="s">
        <v>137</v>
      </c>
      <c r="E18" s="96"/>
      <c r="F18" s="97"/>
      <c r="G18" s="61">
        <f>HLOOKUP('2. Notes and Assumptions'!$C$16,$L$3:$O$162,ROWS($L$3:L18),FALSE)</f>
        <v>30</v>
      </c>
      <c r="H18" s="61">
        <f t="shared" si="0"/>
        <v>30</v>
      </c>
      <c r="I18" s="127">
        <v>3</v>
      </c>
      <c r="J18" s="127">
        <v>9061572</v>
      </c>
      <c r="L18" s="127">
        <v>66</v>
      </c>
      <c r="M18" s="127">
        <v>32.169342240409513</v>
      </c>
      <c r="N18" s="127">
        <v>30</v>
      </c>
      <c r="O18" s="127">
        <v>30</v>
      </c>
      <c r="T18" s="62">
        <f t="shared" si="5"/>
        <v>0</v>
      </c>
      <c r="U18" s="62">
        <f t="shared" si="6"/>
        <v>0</v>
      </c>
      <c r="V18" s="62">
        <f t="shared" si="7"/>
        <v>0</v>
      </c>
      <c r="W18" s="62">
        <f t="shared" si="8"/>
        <v>0</v>
      </c>
    </row>
    <row r="19" spans="2:23">
      <c r="B19" s="133">
        <v>48</v>
      </c>
      <c r="C19" s="133">
        <v>5</v>
      </c>
      <c r="D19" s="134" t="s">
        <v>137</v>
      </c>
      <c r="E19" s="96"/>
      <c r="F19" s="97"/>
      <c r="G19" s="61">
        <f>HLOOKUP('2. Notes and Assumptions'!$C$16,$L$3:$O$162,ROWS($L$3:L19),FALSE)</f>
        <v>30</v>
      </c>
      <c r="H19" s="61">
        <f t="shared" si="0"/>
        <v>30</v>
      </c>
      <c r="I19" s="127">
        <v>4</v>
      </c>
      <c r="J19" s="127">
        <v>9316492</v>
      </c>
      <c r="L19" s="127">
        <v>66</v>
      </c>
      <c r="M19" s="127">
        <v>32.169342240409513</v>
      </c>
      <c r="N19" s="127">
        <v>30</v>
      </c>
      <c r="O19" s="127">
        <v>30</v>
      </c>
      <c r="T19" s="62">
        <f t="shared" si="5"/>
        <v>9316492</v>
      </c>
      <c r="U19" s="62">
        <f t="shared" si="6"/>
        <v>32.169342240409513</v>
      </c>
      <c r="V19" s="62">
        <f t="shared" si="7"/>
        <v>0</v>
      </c>
      <c r="W19" s="62">
        <f t="shared" si="8"/>
        <v>0</v>
      </c>
    </row>
    <row r="20" spans="2:23">
      <c r="B20" s="133">
        <v>50</v>
      </c>
      <c r="C20" s="133">
        <v>5</v>
      </c>
      <c r="D20" s="134" t="s">
        <v>137</v>
      </c>
      <c r="E20" s="96"/>
      <c r="F20" s="97"/>
      <c r="G20" s="61">
        <f>HLOOKUP('2. Notes and Assumptions'!$C$16,$L$3:$O$162,ROWS($L$3:L20),FALSE)</f>
        <v>30</v>
      </c>
      <c r="H20" s="61">
        <f t="shared" si="0"/>
        <v>30</v>
      </c>
      <c r="I20" s="127">
        <v>5</v>
      </c>
      <c r="J20" s="127">
        <v>9587982</v>
      </c>
      <c r="L20" s="127">
        <v>66</v>
      </c>
      <c r="M20" s="127">
        <v>32.169342240409513</v>
      </c>
      <c r="N20" s="127">
        <v>30</v>
      </c>
      <c r="O20" s="127">
        <v>30</v>
      </c>
      <c r="T20" s="62">
        <f t="shared" si="5"/>
        <v>0</v>
      </c>
      <c r="U20" s="62">
        <f t="shared" si="6"/>
        <v>0</v>
      </c>
      <c r="V20" s="62">
        <f t="shared" si="7"/>
        <v>9587982</v>
      </c>
      <c r="W20" s="62">
        <f t="shared" si="8"/>
        <v>32.169342240409513</v>
      </c>
    </row>
    <row r="21" spans="2:23">
      <c r="B21" s="133">
        <v>54</v>
      </c>
      <c r="C21" s="133">
        <v>6</v>
      </c>
      <c r="D21" s="134" t="s">
        <v>137</v>
      </c>
      <c r="E21" s="96"/>
      <c r="F21" s="97"/>
      <c r="G21" s="61">
        <f>HLOOKUP('2. Notes and Assumptions'!$C$16,$L$3:$O$162,ROWS($L$3:L21),FALSE)</f>
        <v>80</v>
      </c>
      <c r="H21" s="61">
        <f t="shared" si="0"/>
        <v>80</v>
      </c>
      <c r="I21" s="127">
        <v>2</v>
      </c>
      <c r="J21" s="127">
        <v>274018.228</v>
      </c>
      <c r="L21" s="127">
        <v>66</v>
      </c>
      <c r="M21" s="127">
        <v>32.169342240409513</v>
      </c>
      <c r="N21" s="127">
        <v>80</v>
      </c>
      <c r="O21" s="127">
        <v>80</v>
      </c>
      <c r="T21" s="62">
        <f t="shared" si="5"/>
        <v>0</v>
      </c>
      <c r="U21" s="62">
        <f t="shared" si="6"/>
        <v>0</v>
      </c>
      <c r="V21" s="62">
        <f t="shared" si="7"/>
        <v>0</v>
      </c>
      <c r="W21" s="62">
        <f t="shared" si="8"/>
        <v>0</v>
      </c>
    </row>
    <row r="22" spans="2:23">
      <c r="B22" s="133">
        <v>56</v>
      </c>
      <c r="C22" s="133">
        <v>6</v>
      </c>
      <c r="D22" s="134" t="s">
        <v>137</v>
      </c>
      <c r="E22" s="96"/>
      <c r="F22" s="97"/>
      <c r="G22" s="61">
        <f>HLOOKUP('2. Notes and Assumptions'!$C$16,$L$3:$O$162,ROWS($L$3:L22),FALSE)</f>
        <v>80</v>
      </c>
      <c r="H22" s="61">
        <f t="shared" si="0"/>
        <v>80</v>
      </c>
      <c r="I22" s="127">
        <v>3</v>
      </c>
      <c r="J22" s="127">
        <v>8232432</v>
      </c>
      <c r="L22" s="127">
        <v>66</v>
      </c>
      <c r="M22" s="127">
        <v>32.169342240409513</v>
      </c>
      <c r="N22" s="127">
        <v>80</v>
      </c>
      <c r="O22" s="127">
        <v>80</v>
      </c>
      <c r="T22" s="62">
        <f t="shared" si="5"/>
        <v>0</v>
      </c>
      <c r="U22" s="62">
        <f t="shared" si="6"/>
        <v>0</v>
      </c>
      <c r="V22" s="62">
        <f t="shared" si="7"/>
        <v>0</v>
      </c>
      <c r="W22" s="62">
        <f t="shared" si="8"/>
        <v>0</v>
      </c>
    </row>
    <row r="23" spans="2:23">
      <c r="B23" s="133">
        <v>58</v>
      </c>
      <c r="C23" s="133">
        <v>6</v>
      </c>
      <c r="D23" s="134" t="s">
        <v>137</v>
      </c>
      <c r="E23" s="96"/>
      <c r="F23" s="97"/>
      <c r="G23" s="61">
        <f>HLOOKUP('2. Notes and Assumptions'!$C$16,$L$3:$O$162,ROWS($L$3:L23),FALSE)</f>
        <v>80</v>
      </c>
      <c r="H23" s="61">
        <f t="shared" si="0"/>
        <v>80</v>
      </c>
      <c r="I23" s="127">
        <v>4</v>
      </c>
      <c r="J23" s="127">
        <v>11666751</v>
      </c>
      <c r="L23" s="127">
        <v>66</v>
      </c>
      <c r="M23" s="127">
        <v>32.169342240409513</v>
      </c>
      <c r="N23" s="127">
        <v>80</v>
      </c>
      <c r="O23" s="127">
        <v>80</v>
      </c>
      <c r="T23" s="62">
        <f t="shared" si="5"/>
        <v>11666751</v>
      </c>
      <c r="U23" s="62">
        <f t="shared" si="6"/>
        <v>32.169342240409513</v>
      </c>
      <c r="V23" s="62">
        <f t="shared" si="7"/>
        <v>0</v>
      </c>
      <c r="W23" s="62">
        <f t="shared" si="8"/>
        <v>0</v>
      </c>
    </row>
    <row r="24" spans="2:23">
      <c r="B24" s="133">
        <v>60</v>
      </c>
      <c r="C24" s="133">
        <v>6</v>
      </c>
      <c r="D24" s="134" t="s">
        <v>137</v>
      </c>
      <c r="E24" s="96"/>
      <c r="F24" s="97"/>
      <c r="G24" s="61">
        <f>HLOOKUP('2. Notes and Assumptions'!$C$16,$L$3:$O$162,ROWS($L$3:L24),FALSE)</f>
        <v>80</v>
      </c>
      <c r="H24" s="61">
        <f t="shared" si="0"/>
        <v>80</v>
      </c>
      <c r="I24" s="127">
        <v>5</v>
      </c>
      <c r="J24" s="127">
        <v>4135333</v>
      </c>
      <c r="L24" s="127">
        <v>66</v>
      </c>
      <c r="M24" s="127">
        <v>32.169342240409513</v>
      </c>
      <c r="N24" s="127">
        <v>80</v>
      </c>
      <c r="O24" s="127">
        <v>80</v>
      </c>
      <c r="T24" s="62">
        <f t="shared" si="5"/>
        <v>0</v>
      </c>
      <c r="U24" s="62">
        <f t="shared" si="6"/>
        <v>0</v>
      </c>
      <c r="V24" s="62">
        <f t="shared" si="7"/>
        <v>4135333</v>
      </c>
      <c r="W24" s="62">
        <f t="shared" si="8"/>
        <v>32.169342240409513</v>
      </c>
    </row>
    <row r="25" spans="2:23">
      <c r="B25" s="133">
        <v>64</v>
      </c>
      <c r="C25" s="133">
        <v>7</v>
      </c>
      <c r="D25" s="134" t="s">
        <v>137</v>
      </c>
      <c r="E25" s="96"/>
      <c r="F25" s="97"/>
      <c r="G25" s="61">
        <f>HLOOKUP('2. Notes and Assumptions'!$C$16,$L$3:$O$162,ROWS($L$3:L25),FALSE)</f>
        <v>30</v>
      </c>
      <c r="H25" s="61">
        <f t="shared" si="0"/>
        <v>30</v>
      </c>
      <c r="I25" s="127">
        <v>2</v>
      </c>
      <c r="J25" s="127">
        <v>4300000</v>
      </c>
      <c r="L25" s="127">
        <v>66</v>
      </c>
      <c r="M25" s="127">
        <v>32.169342240409513</v>
      </c>
      <c r="N25" s="127">
        <v>30</v>
      </c>
      <c r="O25" s="127">
        <v>30</v>
      </c>
      <c r="T25" s="62">
        <f t="shared" si="5"/>
        <v>0</v>
      </c>
      <c r="U25" s="62">
        <f t="shared" si="6"/>
        <v>0</v>
      </c>
      <c r="V25" s="62">
        <f t="shared" si="7"/>
        <v>0</v>
      </c>
      <c r="W25" s="62">
        <f t="shared" si="8"/>
        <v>0</v>
      </c>
    </row>
    <row r="26" spans="2:23">
      <c r="B26" s="133">
        <v>66</v>
      </c>
      <c r="C26" s="133">
        <v>7</v>
      </c>
      <c r="D26" s="134" t="s">
        <v>137</v>
      </c>
      <c r="E26" s="96"/>
      <c r="F26" s="97"/>
      <c r="G26" s="61">
        <f>HLOOKUP('2. Notes and Assumptions'!$C$16,$L$3:$O$162,ROWS($L$3:L26),FALSE)</f>
        <v>30</v>
      </c>
      <c r="H26" s="61">
        <f t="shared" si="0"/>
        <v>30</v>
      </c>
      <c r="I26" s="127">
        <v>3</v>
      </c>
      <c r="J26" s="127">
        <v>18200000</v>
      </c>
      <c r="L26" s="127">
        <v>66</v>
      </c>
      <c r="M26" s="127">
        <v>32.169342240409513</v>
      </c>
      <c r="N26" s="127">
        <v>30</v>
      </c>
      <c r="O26" s="127">
        <v>30</v>
      </c>
      <c r="T26" s="62">
        <f t="shared" si="5"/>
        <v>0</v>
      </c>
      <c r="U26" s="62">
        <f t="shared" si="6"/>
        <v>0</v>
      </c>
      <c r="V26" s="62">
        <f t="shared" si="7"/>
        <v>0</v>
      </c>
      <c r="W26" s="62">
        <f t="shared" si="8"/>
        <v>0</v>
      </c>
    </row>
    <row r="27" spans="2:23">
      <c r="B27" s="133">
        <v>76</v>
      </c>
      <c r="C27" s="133">
        <v>8</v>
      </c>
      <c r="D27" s="134" t="s">
        <v>137</v>
      </c>
      <c r="E27" s="96"/>
      <c r="F27" s="97"/>
      <c r="G27" s="61">
        <f>HLOOKUP('2. Notes and Assumptions'!$C$16,$L$3:$O$162,ROWS($L$3:L27),FALSE)</f>
        <v>30</v>
      </c>
      <c r="H27" s="61">
        <f t="shared" si="0"/>
        <v>30</v>
      </c>
      <c r="I27" s="127">
        <v>3</v>
      </c>
      <c r="J27" s="127">
        <v>540126</v>
      </c>
      <c r="L27" s="127">
        <v>66</v>
      </c>
      <c r="M27" s="127">
        <v>32.169342240409513</v>
      </c>
      <c r="N27" s="127">
        <v>30</v>
      </c>
      <c r="O27" s="127">
        <v>30</v>
      </c>
      <c r="T27" s="62">
        <f t="shared" si="5"/>
        <v>0</v>
      </c>
      <c r="U27" s="62">
        <f t="shared" si="6"/>
        <v>0</v>
      </c>
      <c r="V27" s="62">
        <f t="shared" si="7"/>
        <v>0</v>
      </c>
      <c r="W27" s="62">
        <f t="shared" si="8"/>
        <v>0</v>
      </c>
    </row>
    <row r="28" spans="2:23">
      <c r="B28" s="133">
        <v>78</v>
      </c>
      <c r="C28" s="133">
        <v>8</v>
      </c>
      <c r="D28" s="134" t="s">
        <v>137</v>
      </c>
      <c r="E28" s="96"/>
      <c r="F28" s="97"/>
      <c r="G28" s="61">
        <f>HLOOKUP('2. Notes and Assumptions'!$C$16,$L$3:$O$162,ROWS($L$3:L28),FALSE)</f>
        <v>30</v>
      </c>
      <c r="H28" s="61">
        <f t="shared" si="0"/>
        <v>30</v>
      </c>
      <c r="I28" s="127">
        <v>4</v>
      </c>
      <c r="J28" s="127">
        <v>7792359</v>
      </c>
      <c r="L28" s="127">
        <v>66</v>
      </c>
      <c r="M28" s="127">
        <v>32.169342240409513</v>
      </c>
      <c r="N28" s="127">
        <v>30</v>
      </c>
      <c r="O28" s="127">
        <v>30</v>
      </c>
      <c r="T28" s="62">
        <f t="shared" si="5"/>
        <v>7792359</v>
      </c>
      <c r="U28" s="62">
        <f t="shared" si="6"/>
        <v>32.169342240409513</v>
      </c>
      <c r="V28" s="62">
        <f t="shared" si="7"/>
        <v>0</v>
      </c>
      <c r="W28" s="62">
        <f t="shared" si="8"/>
        <v>0</v>
      </c>
    </row>
    <row r="29" spans="2:23">
      <c r="B29" s="133">
        <v>80</v>
      </c>
      <c r="C29" s="133">
        <v>8</v>
      </c>
      <c r="D29" s="134" t="s">
        <v>137</v>
      </c>
      <c r="E29" s="96"/>
      <c r="F29" s="97"/>
      <c r="G29" s="61">
        <f>HLOOKUP('2. Notes and Assumptions'!$C$16,$L$3:$O$162,ROWS($L$3:L29),FALSE)</f>
        <v>30</v>
      </c>
      <c r="H29" s="61">
        <f t="shared" si="0"/>
        <v>30</v>
      </c>
      <c r="I29" s="127">
        <v>5</v>
      </c>
      <c r="J29" s="127">
        <v>11430071</v>
      </c>
      <c r="L29" s="127">
        <v>66</v>
      </c>
      <c r="M29" s="127">
        <v>32.169342240409513</v>
      </c>
      <c r="N29" s="127">
        <v>30</v>
      </c>
      <c r="O29" s="127">
        <v>30</v>
      </c>
      <c r="T29" s="62">
        <f t="shared" si="5"/>
        <v>0</v>
      </c>
      <c r="U29" s="62">
        <f t="shared" si="6"/>
        <v>0</v>
      </c>
      <c r="V29" s="62">
        <f t="shared" si="7"/>
        <v>11430071</v>
      </c>
      <c r="W29" s="62">
        <f t="shared" si="8"/>
        <v>32.169342240409513</v>
      </c>
    </row>
    <row r="30" spans="2:23">
      <c r="B30" s="133">
        <v>86</v>
      </c>
      <c r="C30" s="133">
        <v>9</v>
      </c>
      <c r="D30" s="134" t="s">
        <v>137</v>
      </c>
      <c r="E30" s="96"/>
      <c r="F30" s="97"/>
      <c r="G30" s="61">
        <f>HLOOKUP('2. Notes and Assumptions'!$C$16,$L$3:$O$162,ROWS($L$3:L30),FALSE)</f>
        <v>20</v>
      </c>
      <c r="H30" s="61">
        <f t="shared" si="0"/>
        <v>20</v>
      </c>
      <c r="I30" s="127">
        <v>3</v>
      </c>
      <c r="J30" s="127">
        <v>1043694</v>
      </c>
      <c r="L30" s="127">
        <v>66</v>
      </c>
      <c r="M30" s="127">
        <v>32.169342240409513</v>
      </c>
      <c r="N30" s="127">
        <v>20</v>
      </c>
      <c r="O30" s="127">
        <v>20</v>
      </c>
      <c r="T30" s="62">
        <f t="shared" si="5"/>
        <v>0</v>
      </c>
      <c r="U30" s="62">
        <f t="shared" si="6"/>
        <v>0</v>
      </c>
      <c r="V30" s="62">
        <f t="shared" si="7"/>
        <v>0</v>
      </c>
      <c r="W30" s="62">
        <f t="shared" si="8"/>
        <v>0</v>
      </c>
    </row>
    <row r="31" spans="2:23">
      <c r="B31" s="133">
        <v>88</v>
      </c>
      <c r="C31" s="133">
        <v>9</v>
      </c>
      <c r="D31" s="134" t="s">
        <v>137</v>
      </c>
      <c r="E31" s="96"/>
      <c r="F31" s="97"/>
      <c r="G31" s="61">
        <f>HLOOKUP('2. Notes and Assumptions'!$C$16,$L$3:$O$162,ROWS($L$3:L31),FALSE)</f>
        <v>20</v>
      </c>
      <c r="H31" s="61">
        <f t="shared" si="0"/>
        <v>20</v>
      </c>
      <c r="I31" s="127">
        <v>4</v>
      </c>
      <c r="J31" s="127">
        <v>5354284</v>
      </c>
      <c r="L31" s="127">
        <v>66</v>
      </c>
      <c r="M31" s="127">
        <v>32.169342240409513</v>
      </c>
      <c r="N31" s="127">
        <v>20</v>
      </c>
      <c r="O31" s="127">
        <v>20</v>
      </c>
      <c r="T31" s="62">
        <f t="shared" si="5"/>
        <v>5354284</v>
      </c>
      <c r="U31" s="62">
        <f t="shared" si="6"/>
        <v>32.169342240409513</v>
      </c>
      <c r="V31" s="62">
        <f t="shared" si="7"/>
        <v>0</v>
      </c>
      <c r="W31" s="62">
        <f t="shared" si="8"/>
        <v>0</v>
      </c>
    </row>
    <row r="32" spans="2:23">
      <c r="B32" s="133">
        <v>90</v>
      </c>
      <c r="C32" s="133">
        <v>9</v>
      </c>
      <c r="D32" s="134" t="s">
        <v>137</v>
      </c>
      <c r="E32" s="96"/>
      <c r="F32" s="97"/>
      <c r="G32" s="61">
        <f>HLOOKUP('2. Notes and Assumptions'!$C$16,$L$3:$O$162,ROWS($L$3:L32),FALSE)</f>
        <v>20</v>
      </c>
      <c r="H32" s="61">
        <f t="shared" si="0"/>
        <v>20</v>
      </c>
      <c r="I32" s="127">
        <v>5</v>
      </c>
      <c r="J32" s="127">
        <v>10802524</v>
      </c>
      <c r="L32" s="127">
        <v>66</v>
      </c>
      <c r="M32" s="127">
        <v>32.169342240409513</v>
      </c>
      <c r="N32" s="127">
        <v>20</v>
      </c>
      <c r="O32" s="127">
        <v>20</v>
      </c>
      <c r="T32" s="62">
        <f t="shared" si="5"/>
        <v>0</v>
      </c>
      <c r="U32" s="62">
        <f t="shared" si="6"/>
        <v>0</v>
      </c>
      <c r="V32" s="62">
        <f t="shared" si="7"/>
        <v>10802524</v>
      </c>
      <c r="W32" s="62">
        <f t="shared" si="8"/>
        <v>32.169342240409513</v>
      </c>
    </row>
    <row r="33" spans="2:23">
      <c r="B33" s="133">
        <v>96</v>
      </c>
      <c r="C33" s="133">
        <v>10</v>
      </c>
      <c r="D33" s="134" t="s">
        <v>137</v>
      </c>
      <c r="E33" s="96"/>
      <c r="F33" s="97"/>
      <c r="G33" s="61">
        <f>HLOOKUP('2. Notes and Assumptions'!$C$16,$L$3:$O$162,ROWS($L$3:L33),FALSE)</f>
        <v>30</v>
      </c>
      <c r="H33" s="61">
        <f t="shared" si="0"/>
        <v>30</v>
      </c>
      <c r="I33" s="127">
        <v>3</v>
      </c>
      <c r="J33" s="127">
        <v>2087387.4484227216</v>
      </c>
      <c r="L33" s="127">
        <v>66</v>
      </c>
      <c r="M33" s="127">
        <v>32.169342240409513</v>
      </c>
      <c r="N33" s="127">
        <v>30</v>
      </c>
      <c r="O33" s="127">
        <v>30</v>
      </c>
      <c r="T33" s="62">
        <f t="shared" si="5"/>
        <v>0</v>
      </c>
      <c r="U33" s="62">
        <f t="shared" si="6"/>
        <v>0</v>
      </c>
      <c r="V33" s="62">
        <f t="shared" si="7"/>
        <v>0</v>
      </c>
      <c r="W33" s="62">
        <f t="shared" si="8"/>
        <v>0</v>
      </c>
    </row>
    <row r="34" spans="2:23">
      <c r="B34" s="133">
        <v>98</v>
      </c>
      <c r="C34" s="133">
        <v>10</v>
      </c>
      <c r="D34" s="134" t="s">
        <v>137</v>
      </c>
      <c r="E34" s="96"/>
      <c r="F34" s="97"/>
      <c r="G34" s="61">
        <f>HLOOKUP('2. Notes and Assumptions'!$C$16,$L$3:$O$162,ROWS($L$3:L34),FALSE)</f>
        <v>30</v>
      </c>
      <c r="H34" s="61">
        <f t="shared" si="0"/>
        <v>30</v>
      </c>
      <c r="I34" s="127">
        <v>4</v>
      </c>
      <c r="J34" s="127">
        <v>5354283.6755518988</v>
      </c>
      <c r="L34" s="127">
        <v>66</v>
      </c>
      <c r="M34" s="127">
        <v>32.169342240409513</v>
      </c>
      <c r="N34" s="127">
        <v>30</v>
      </c>
      <c r="O34" s="127">
        <v>30</v>
      </c>
      <c r="T34" s="62">
        <f t="shared" si="5"/>
        <v>5354283.6755518988</v>
      </c>
      <c r="U34" s="62">
        <f t="shared" si="6"/>
        <v>32.169342240409513</v>
      </c>
      <c r="V34" s="62">
        <f t="shared" si="7"/>
        <v>0</v>
      </c>
      <c r="W34" s="62">
        <f t="shared" si="8"/>
        <v>0</v>
      </c>
    </row>
    <row r="35" spans="2:23">
      <c r="B35" s="133">
        <v>100</v>
      </c>
      <c r="C35" s="133">
        <v>10</v>
      </c>
      <c r="D35" s="134" t="s">
        <v>137</v>
      </c>
      <c r="E35" s="96"/>
      <c r="F35" s="97"/>
      <c r="G35" s="61">
        <f>HLOOKUP('2. Notes and Assumptions'!$C$16,$L$3:$O$162,ROWS($L$3:L35),FALSE)</f>
        <v>30</v>
      </c>
      <c r="H35" s="61">
        <f t="shared" si="0"/>
        <v>30</v>
      </c>
      <c r="I35" s="127">
        <v>5</v>
      </c>
      <c r="J35" s="127">
        <v>9678179.62131216</v>
      </c>
      <c r="L35" s="127">
        <v>66</v>
      </c>
      <c r="M35" s="127">
        <v>32.169342240409513</v>
      </c>
      <c r="N35" s="127">
        <v>30</v>
      </c>
      <c r="O35" s="127">
        <v>30</v>
      </c>
      <c r="T35" s="62">
        <f t="shared" si="5"/>
        <v>0</v>
      </c>
      <c r="U35" s="62">
        <f t="shared" si="6"/>
        <v>0</v>
      </c>
      <c r="V35" s="62">
        <f t="shared" si="7"/>
        <v>9678179.62131216</v>
      </c>
      <c r="W35" s="62">
        <f t="shared" si="8"/>
        <v>32.169342240409513</v>
      </c>
    </row>
    <row r="36" spans="2:23">
      <c r="B36" s="133">
        <v>106</v>
      </c>
      <c r="C36" s="133">
        <v>11</v>
      </c>
      <c r="D36" s="134" t="s">
        <v>137</v>
      </c>
      <c r="E36" s="96"/>
      <c r="F36" s="97"/>
      <c r="G36" s="61">
        <f>HLOOKUP('2. Notes and Assumptions'!$C$16,$L$3:$O$162,ROWS($L$3:L36),FALSE)</f>
        <v>80</v>
      </c>
      <c r="H36" s="61">
        <f t="shared" si="0"/>
        <v>80</v>
      </c>
      <c r="I36" s="127">
        <v>3</v>
      </c>
      <c r="J36" s="127">
        <v>1080252</v>
      </c>
      <c r="L36" s="127">
        <v>66</v>
      </c>
      <c r="M36" s="127">
        <v>32.169342240409513</v>
      </c>
      <c r="N36" s="127">
        <v>80</v>
      </c>
      <c r="O36" s="127">
        <v>80</v>
      </c>
      <c r="T36" s="62">
        <f t="shared" si="5"/>
        <v>0</v>
      </c>
      <c r="U36" s="62">
        <f t="shared" si="6"/>
        <v>0</v>
      </c>
      <c r="V36" s="62">
        <f t="shared" si="7"/>
        <v>0</v>
      </c>
      <c r="W36" s="62">
        <f t="shared" si="8"/>
        <v>0</v>
      </c>
    </row>
    <row r="37" spans="2:23">
      <c r="B37" s="133">
        <v>108</v>
      </c>
      <c r="C37" s="133">
        <v>11</v>
      </c>
      <c r="D37" s="134" t="s">
        <v>137</v>
      </c>
      <c r="E37" s="96"/>
      <c r="F37" s="97"/>
      <c r="G37" s="61">
        <f>HLOOKUP('2. Notes and Assumptions'!$C$16,$L$3:$O$162,ROWS($L$3:L37),FALSE)</f>
        <v>80</v>
      </c>
      <c r="H37" s="61">
        <f t="shared" si="0"/>
        <v>80</v>
      </c>
      <c r="I37" s="127">
        <v>4</v>
      </c>
      <c r="J37" s="127">
        <v>7774495</v>
      </c>
      <c r="L37" s="127">
        <v>66</v>
      </c>
      <c r="M37" s="127">
        <v>32.169342240409513</v>
      </c>
      <c r="N37" s="127">
        <v>80</v>
      </c>
      <c r="O37" s="127">
        <v>80</v>
      </c>
      <c r="T37" s="62">
        <f t="shared" si="5"/>
        <v>7774495</v>
      </c>
      <c r="U37" s="62">
        <f t="shared" si="6"/>
        <v>32.169342240409513</v>
      </c>
      <c r="V37" s="62">
        <f t="shared" si="7"/>
        <v>0</v>
      </c>
      <c r="W37" s="62">
        <f t="shared" si="8"/>
        <v>0</v>
      </c>
    </row>
    <row r="38" spans="2:23">
      <c r="B38" s="133">
        <v>110</v>
      </c>
      <c r="C38" s="133">
        <v>11</v>
      </c>
      <c r="D38" s="134" t="s">
        <v>137</v>
      </c>
      <c r="E38" s="96"/>
      <c r="F38" s="97"/>
      <c r="G38" s="61">
        <f>HLOOKUP('2. Notes and Assumptions'!$C$16,$L$3:$O$162,ROWS($L$3:L38),FALSE)</f>
        <v>80</v>
      </c>
      <c r="H38" s="61">
        <f t="shared" si="0"/>
        <v>80</v>
      </c>
      <c r="I38" s="127">
        <v>5</v>
      </c>
      <c r="J38" s="127">
        <v>4695187</v>
      </c>
      <c r="L38" s="127">
        <v>66</v>
      </c>
      <c r="M38" s="127">
        <v>32.169342240409513</v>
      </c>
      <c r="N38" s="127">
        <v>80</v>
      </c>
      <c r="O38" s="127">
        <v>80</v>
      </c>
      <c r="T38" s="62">
        <f t="shared" si="5"/>
        <v>0</v>
      </c>
      <c r="U38" s="62">
        <f t="shared" si="6"/>
        <v>0</v>
      </c>
      <c r="V38" s="62">
        <f t="shared" si="7"/>
        <v>4695187</v>
      </c>
      <c r="W38" s="62">
        <f t="shared" si="8"/>
        <v>32.169342240409513</v>
      </c>
    </row>
    <row r="39" spans="2:23">
      <c r="B39" s="133">
        <v>116</v>
      </c>
      <c r="C39" s="133">
        <v>12</v>
      </c>
      <c r="D39" s="134" t="s">
        <v>137</v>
      </c>
      <c r="E39" s="96"/>
      <c r="F39" s="97"/>
      <c r="G39" s="61">
        <f>HLOOKUP('2. Notes and Assumptions'!$C$16,$L$3:$O$162,ROWS($L$3:L39),FALSE)</f>
        <v>60</v>
      </c>
      <c r="H39" s="61">
        <f t="shared" si="0"/>
        <v>60</v>
      </c>
      <c r="I39" s="127">
        <v>3</v>
      </c>
      <c r="J39" s="127">
        <v>756177</v>
      </c>
      <c r="L39" s="127">
        <v>66</v>
      </c>
      <c r="M39" s="127">
        <v>32.169342240409513</v>
      </c>
      <c r="N39" s="127">
        <v>60</v>
      </c>
      <c r="O39" s="127">
        <v>60</v>
      </c>
      <c r="T39" s="62">
        <f t="shared" si="5"/>
        <v>0</v>
      </c>
      <c r="U39" s="62">
        <f t="shared" si="6"/>
        <v>0</v>
      </c>
      <c r="V39" s="62">
        <f t="shared" si="7"/>
        <v>0</v>
      </c>
      <c r="W39" s="62">
        <f t="shared" si="8"/>
        <v>0</v>
      </c>
    </row>
    <row r="40" spans="2:23">
      <c r="B40" s="133">
        <v>118</v>
      </c>
      <c r="C40" s="133">
        <v>12</v>
      </c>
      <c r="D40" s="134" t="s">
        <v>137</v>
      </c>
      <c r="E40" s="96"/>
      <c r="F40" s="97"/>
      <c r="G40" s="61">
        <f>HLOOKUP('2. Notes and Assumptions'!$C$16,$L$3:$O$162,ROWS($L$3:L40),FALSE)</f>
        <v>60</v>
      </c>
      <c r="H40" s="61">
        <f t="shared" si="0"/>
        <v>60</v>
      </c>
      <c r="I40" s="127">
        <v>4</v>
      </c>
      <c r="J40" s="127">
        <v>5745563</v>
      </c>
      <c r="L40" s="127">
        <v>66</v>
      </c>
      <c r="M40" s="127">
        <v>32.169342240409513</v>
      </c>
      <c r="N40" s="127">
        <v>60</v>
      </c>
      <c r="O40" s="127">
        <v>60</v>
      </c>
      <c r="T40" s="62">
        <f t="shared" si="5"/>
        <v>5745563</v>
      </c>
      <c r="U40" s="62">
        <f t="shared" si="6"/>
        <v>32.169342240409513</v>
      </c>
      <c r="V40" s="62">
        <f t="shared" si="7"/>
        <v>0</v>
      </c>
      <c r="W40" s="62">
        <f t="shared" si="8"/>
        <v>0</v>
      </c>
    </row>
    <row r="41" spans="2:23">
      <c r="B41" s="133">
        <v>120</v>
      </c>
      <c r="C41" s="133">
        <v>12</v>
      </c>
      <c r="D41" s="134" t="s">
        <v>137</v>
      </c>
      <c r="E41" s="96"/>
      <c r="F41" s="97"/>
      <c r="G41" s="61">
        <f>HLOOKUP('2. Notes and Assumptions'!$C$16,$L$3:$O$162,ROWS($L$3:L41),FALSE)</f>
        <v>60</v>
      </c>
      <c r="H41" s="61">
        <f t="shared" si="0"/>
        <v>60</v>
      </c>
      <c r="I41" s="127">
        <v>5</v>
      </c>
      <c r="J41" s="127">
        <v>4918893</v>
      </c>
      <c r="L41" s="127">
        <v>66</v>
      </c>
      <c r="M41" s="127">
        <v>32.169342240409513</v>
      </c>
      <c r="N41" s="127">
        <v>60</v>
      </c>
      <c r="O41" s="127">
        <v>60</v>
      </c>
      <c r="T41" s="62">
        <f t="shared" si="5"/>
        <v>0</v>
      </c>
      <c r="U41" s="62">
        <f t="shared" si="6"/>
        <v>0</v>
      </c>
      <c r="V41" s="62">
        <f t="shared" si="7"/>
        <v>4918893</v>
      </c>
      <c r="W41" s="62">
        <f t="shared" si="8"/>
        <v>32.169342240409513</v>
      </c>
    </row>
    <row r="42" spans="2:23">
      <c r="B42" s="133">
        <v>124</v>
      </c>
      <c r="C42" s="133">
        <v>13</v>
      </c>
      <c r="D42" s="134" t="s">
        <v>137</v>
      </c>
      <c r="E42" s="96"/>
      <c r="F42" s="97"/>
      <c r="G42" s="61">
        <f>HLOOKUP('2. Notes and Assumptions'!$C$16,$L$3:$O$162,ROWS($L$3:L42),FALSE)</f>
        <v>10</v>
      </c>
      <c r="H42" s="61">
        <f t="shared" si="0"/>
        <v>10</v>
      </c>
      <c r="I42" s="127">
        <v>2</v>
      </c>
      <c r="J42" s="127">
        <v>947069</v>
      </c>
      <c r="L42" s="127">
        <v>66</v>
      </c>
      <c r="M42" s="127">
        <v>32.169342240409513</v>
      </c>
      <c r="N42" s="127">
        <v>10</v>
      </c>
      <c r="O42" s="127">
        <v>10</v>
      </c>
      <c r="T42" s="62">
        <f t="shared" si="5"/>
        <v>0</v>
      </c>
      <c r="U42" s="62">
        <f t="shared" si="6"/>
        <v>0</v>
      </c>
      <c r="V42" s="62">
        <f t="shared" si="7"/>
        <v>0</v>
      </c>
      <c r="W42" s="62">
        <f t="shared" si="8"/>
        <v>0</v>
      </c>
    </row>
    <row r="43" spans="2:23">
      <c r="B43" s="133">
        <v>126</v>
      </c>
      <c r="C43" s="133">
        <v>13</v>
      </c>
      <c r="D43" s="134" t="s">
        <v>137</v>
      </c>
      <c r="E43" s="96"/>
      <c r="F43" s="97"/>
      <c r="G43" s="61">
        <f>HLOOKUP('2. Notes and Assumptions'!$C$16,$L$3:$O$162,ROWS($L$3:L43),FALSE)</f>
        <v>10</v>
      </c>
      <c r="H43" s="61">
        <f t="shared" si="0"/>
        <v>10</v>
      </c>
      <c r="I43" s="127">
        <v>3</v>
      </c>
      <c r="J43" s="127">
        <v>1476453</v>
      </c>
      <c r="L43" s="127">
        <v>66</v>
      </c>
      <c r="M43" s="127">
        <v>32.169342240409513</v>
      </c>
      <c r="N43" s="127">
        <v>10</v>
      </c>
      <c r="O43" s="127">
        <v>10</v>
      </c>
      <c r="T43" s="62">
        <f t="shared" si="5"/>
        <v>0</v>
      </c>
      <c r="U43" s="62">
        <f t="shared" si="6"/>
        <v>0</v>
      </c>
      <c r="V43" s="62">
        <f t="shared" si="7"/>
        <v>0</v>
      </c>
      <c r="W43" s="62">
        <f t="shared" si="8"/>
        <v>0</v>
      </c>
    </row>
    <row r="44" spans="2:23">
      <c r="B44" s="133">
        <v>128</v>
      </c>
      <c r="C44" s="133">
        <v>13</v>
      </c>
      <c r="D44" s="134" t="s">
        <v>137</v>
      </c>
      <c r="E44" s="96"/>
      <c r="F44" s="97"/>
      <c r="G44" s="61">
        <f>HLOOKUP('2. Notes and Assumptions'!$C$16,$L$3:$O$162,ROWS($L$3:L44),FALSE)</f>
        <v>10</v>
      </c>
      <c r="H44" s="61">
        <f t="shared" si="0"/>
        <v>10</v>
      </c>
      <c r="I44" s="127">
        <v>4</v>
      </c>
      <c r="J44" s="127">
        <v>1528844</v>
      </c>
      <c r="L44" s="127">
        <v>66</v>
      </c>
      <c r="M44" s="127">
        <v>32.169342240409513</v>
      </c>
      <c r="N44" s="127">
        <v>10</v>
      </c>
      <c r="O44" s="127">
        <v>10</v>
      </c>
      <c r="T44" s="62">
        <f t="shared" si="5"/>
        <v>1528844</v>
      </c>
      <c r="U44" s="62">
        <f t="shared" si="6"/>
        <v>32.169342240409513</v>
      </c>
      <c r="V44" s="62">
        <f t="shared" si="7"/>
        <v>0</v>
      </c>
      <c r="W44" s="62">
        <f t="shared" si="8"/>
        <v>0</v>
      </c>
    </row>
    <row r="45" spans="2:23">
      <c r="B45" s="133">
        <v>130</v>
      </c>
      <c r="C45" s="133">
        <v>13</v>
      </c>
      <c r="D45" s="134" t="s">
        <v>137</v>
      </c>
      <c r="E45" s="96"/>
      <c r="F45" s="97"/>
      <c r="G45" s="61">
        <f>HLOOKUP('2. Notes and Assumptions'!$C$16,$L$3:$O$162,ROWS($L$3:L45),FALSE)</f>
        <v>10</v>
      </c>
      <c r="H45" s="61">
        <f t="shared" si="0"/>
        <v>10</v>
      </c>
      <c r="I45" s="127">
        <v>5</v>
      </c>
      <c r="J45" s="127">
        <v>1143007</v>
      </c>
      <c r="L45" s="127">
        <v>66</v>
      </c>
      <c r="M45" s="127">
        <v>32.169342240409513</v>
      </c>
      <c r="N45" s="127">
        <v>10</v>
      </c>
      <c r="O45" s="127">
        <v>10</v>
      </c>
      <c r="T45" s="62">
        <f t="shared" si="5"/>
        <v>0</v>
      </c>
      <c r="U45" s="62">
        <f t="shared" si="6"/>
        <v>0</v>
      </c>
      <c r="V45" s="62">
        <f t="shared" si="7"/>
        <v>1143007</v>
      </c>
      <c r="W45" s="62">
        <f t="shared" si="8"/>
        <v>32.169342240409513</v>
      </c>
    </row>
    <row r="46" spans="2:23">
      <c r="B46" s="133">
        <v>136</v>
      </c>
      <c r="C46" s="133">
        <v>14</v>
      </c>
      <c r="D46" s="134" t="s">
        <v>137</v>
      </c>
      <c r="E46" s="96"/>
      <c r="F46" s="97"/>
      <c r="G46" s="61">
        <f>HLOOKUP('2. Notes and Assumptions'!$C$16,$L$3:$O$162,ROWS($L$3:L46),FALSE)</f>
        <v>30</v>
      </c>
      <c r="H46" s="61">
        <f t="shared" si="0"/>
        <v>30</v>
      </c>
      <c r="I46" s="127">
        <v>3</v>
      </c>
      <c r="J46" s="127">
        <v>529324</v>
      </c>
      <c r="L46" s="127">
        <v>66</v>
      </c>
      <c r="M46" s="127">
        <v>32.169342240409513</v>
      </c>
      <c r="N46" s="127">
        <v>30</v>
      </c>
      <c r="O46" s="127">
        <v>30</v>
      </c>
      <c r="T46" s="62">
        <f t="shared" si="5"/>
        <v>0</v>
      </c>
      <c r="U46" s="62">
        <f t="shared" si="6"/>
        <v>0</v>
      </c>
      <c r="V46" s="62">
        <f t="shared" si="7"/>
        <v>0</v>
      </c>
      <c r="W46" s="62">
        <f t="shared" si="8"/>
        <v>0</v>
      </c>
    </row>
    <row r="47" spans="2:23">
      <c r="B47" s="133">
        <v>138</v>
      </c>
      <c r="C47" s="133">
        <v>14</v>
      </c>
      <c r="D47" s="134" t="s">
        <v>137</v>
      </c>
      <c r="E47" s="96"/>
      <c r="F47" s="97"/>
      <c r="G47" s="61">
        <f>HLOOKUP('2. Notes and Assumptions'!$C$16,$L$3:$O$162,ROWS($L$3:L47),FALSE)</f>
        <v>30</v>
      </c>
      <c r="H47" s="61">
        <f t="shared" si="0"/>
        <v>30</v>
      </c>
      <c r="I47" s="127">
        <v>4</v>
      </c>
      <c r="J47" s="127">
        <v>4164908</v>
      </c>
      <c r="L47" s="127">
        <v>66</v>
      </c>
      <c r="M47" s="127">
        <v>32.169342240409513</v>
      </c>
      <c r="N47" s="127">
        <v>30</v>
      </c>
      <c r="O47" s="127">
        <v>30</v>
      </c>
      <c r="T47" s="62">
        <f t="shared" si="5"/>
        <v>4164908</v>
      </c>
      <c r="U47" s="62">
        <f t="shared" si="6"/>
        <v>32.169342240409513</v>
      </c>
      <c r="V47" s="62">
        <f t="shared" si="7"/>
        <v>0</v>
      </c>
      <c r="W47" s="62">
        <f t="shared" si="8"/>
        <v>0</v>
      </c>
    </row>
    <row r="48" spans="2:23">
      <c r="B48" s="133">
        <v>142</v>
      </c>
      <c r="C48" s="133">
        <v>15</v>
      </c>
      <c r="D48" s="134" t="s">
        <v>137</v>
      </c>
      <c r="E48" s="96"/>
      <c r="F48" s="97"/>
      <c r="G48" s="61">
        <f>HLOOKUP('2. Notes and Assumptions'!$C$16,$L$3:$O$162,ROWS($L$3:L48),FALSE)</f>
        <v>30</v>
      </c>
      <c r="H48" s="61">
        <f t="shared" si="0"/>
        <v>30</v>
      </c>
      <c r="I48" s="127">
        <v>1</v>
      </c>
      <c r="J48" s="127">
        <v>3158587.93</v>
      </c>
      <c r="L48" s="127">
        <v>66</v>
      </c>
      <c r="M48" s="127">
        <v>32.169342240409513</v>
      </c>
      <c r="N48" s="127">
        <v>30</v>
      </c>
      <c r="O48" s="127">
        <v>30</v>
      </c>
      <c r="T48" s="62">
        <f t="shared" si="5"/>
        <v>0</v>
      </c>
      <c r="U48" s="62">
        <f t="shared" si="6"/>
        <v>0</v>
      </c>
      <c r="V48" s="62">
        <f t="shared" si="7"/>
        <v>0</v>
      </c>
      <c r="W48" s="62">
        <f t="shared" si="8"/>
        <v>0</v>
      </c>
    </row>
    <row r="49" spans="2:23">
      <c r="B49" s="133">
        <v>144</v>
      </c>
      <c r="C49" s="133">
        <v>15</v>
      </c>
      <c r="D49" s="134" t="s">
        <v>137</v>
      </c>
      <c r="E49" s="96"/>
      <c r="F49" s="97"/>
      <c r="G49" s="61">
        <f>HLOOKUP('2. Notes and Assumptions'!$C$16,$L$3:$O$162,ROWS($L$3:L49),FALSE)</f>
        <v>30</v>
      </c>
      <c r="H49" s="61">
        <f t="shared" si="0"/>
        <v>30</v>
      </c>
      <c r="I49" s="127">
        <v>2</v>
      </c>
      <c r="J49" s="127">
        <v>961257.66999999993</v>
      </c>
      <c r="L49" s="127">
        <v>66</v>
      </c>
      <c r="M49" s="127">
        <v>32.169342240409513</v>
      </c>
      <c r="N49" s="127">
        <v>30</v>
      </c>
      <c r="O49" s="127">
        <v>30</v>
      </c>
      <c r="T49" s="62">
        <f t="shared" si="5"/>
        <v>0</v>
      </c>
      <c r="U49" s="62">
        <f t="shared" si="6"/>
        <v>0</v>
      </c>
      <c r="V49" s="62">
        <f t="shared" si="7"/>
        <v>0</v>
      </c>
      <c r="W49" s="62">
        <f t="shared" si="8"/>
        <v>0</v>
      </c>
    </row>
    <row r="50" spans="2:23">
      <c r="B50" s="133">
        <v>152</v>
      </c>
      <c r="C50" s="133">
        <v>16</v>
      </c>
      <c r="D50" s="134" t="s">
        <v>137</v>
      </c>
      <c r="E50" s="96"/>
      <c r="F50" s="97"/>
      <c r="G50" s="61">
        <f>HLOOKUP('2. Notes and Assumptions'!$C$16,$L$3:$O$162,ROWS($L$3:L50),FALSE)</f>
        <v>30</v>
      </c>
      <c r="H50" s="61">
        <f t="shared" si="0"/>
        <v>30</v>
      </c>
      <c r="I50" s="127">
        <v>1</v>
      </c>
      <c r="J50" s="127">
        <v>1635452.1899999997</v>
      </c>
      <c r="L50" s="127">
        <v>66</v>
      </c>
      <c r="M50" s="127">
        <v>32.169342240409513</v>
      </c>
      <c r="N50" s="127">
        <v>30</v>
      </c>
      <c r="O50" s="127">
        <v>30</v>
      </c>
      <c r="T50" s="62">
        <f t="shared" si="5"/>
        <v>0</v>
      </c>
      <c r="U50" s="62">
        <f t="shared" si="6"/>
        <v>0</v>
      </c>
      <c r="V50" s="62">
        <f t="shared" si="7"/>
        <v>0</v>
      </c>
      <c r="W50" s="62">
        <f t="shared" si="8"/>
        <v>0</v>
      </c>
    </row>
    <row r="51" spans="2:23">
      <c r="B51" s="133">
        <v>154</v>
      </c>
      <c r="C51" s="133">
        <v>16</v>
      </c>
      <c r="D51" s="134" t="s">
        <v>137</v>
      </c>
      <c r="E51" s="96"/>
      <c r="F51" s="97"/>
      <c r="G51" s="61">
        <f>HLOOKUP('2. Notes and Assumptions'!$C$16,$L$3:$O$162,ROWS($L$3:L51),FALSE)</f>
        <v>30</v>
      </c>
      <c r="H51" s="61">
        <f t="shared" si="0"/>
        <v>30</v>
      </c>
      <c r="I51" s="127">
        <v>2</v>
      </c>
      <c r="J51" s="127">
        <v>2077262.39</v>
      </c>
      <c r="L51" s="127">
        <v>66</v>
      </c>
      <c r="M51" s="127">
        <v>32.169342240409513</v>
      </c>
      <c r="N51" s="127">
        <v>30</v>
      </c>
      <c r="O51" s="127">
        <v>30</v>
      </c>
      <c r="T51" s="62">
        <f t="shared" si="5"/>
        <v>0</v>
      </c>
      <c r="U51" s="62">
        <f t="shared" si="6"/>
        <v>0</v>
      </c>
      <c r="V51" s="62">
        <f t="shared" si="7"/>
        <v>0</v>
      </c>
      <c r="W51" s="62">
        <f t="shared" si="8"/>
        <v>0</v>
      </c>
    </row>
    <row r="52" spans="2:23">
      <c r="B52" s="133">
        <v>156</v>
      </c>
      <c r="C52" s="133">
        <v>16</v>
      </c>
      <c r="D52" s="134" t="s">
        <v>137</v>
      </c>
      <c r="E52" s="96"/>
      <c r="F52" s="97"/>
      <c r="G52" s="61">
        <f>HLOOKUP('2. Notes and Assumptions'!$C$16,$L$3:$O$162,ROWS($L$3:L52),FALSE)</f>
        <v>30</v>
      </c>
      <c r="H52" s="61">
        <f t="shared" si="0"/>
        <v>30</v>
      </c>
      <c r="I52" s="127">
        <v>3</v>
      </c>
      <c r="J52" s="127">
        <v>100900</v>
      </c>
      <c r="L52" s="127">
        <v>66</v>
      </c>
      <c r="M52" s="127">
        <v>32.169342240409513</v>
      </c>
      <c r="N52" s="127">
        <v>30</v>
      </c>
      <c r="O52" s="127">
        <v>30</v>
      </c>
      <c r="T52" s="62">
        <f t="shared" si="5"/>
        <v>0</v>
      </c>
      <c r="U52" s="62">
        <f t="shared" si="6"/>
        <v>0</v>
      </c>
      <c r="V52" s="62">
        <f t="shared" si="7"/>
        <v>0</v>
      </c>
      <c r="W52" s="62">
        <f t="shared" si="8"/>
        <v>0</v>
      </c>
    </row>
    <row r="53" spans="2:23">
      <c r="B53" s="133">
        <v>162</v>
      </c>
      <c r="C53" s="133">
        <v>17</v>
      </c>
      <c r="D53" s="134" t="s">
        <v>137</v>
      </c>
      <c r="E53" s="96"/>
      <c r="F53" s="97"/>
      <c r="G53" s="61">
        <f>HLOOKUP('2. Notes and Assumptions'!$C$16,$L$3:$O$162,ROWS($L$3:L53),FALSE)</f>
        <v>80</v>
      </c>
      <c r="H53" s="61">
        <f t="shared" si="0"/>
        <v>80</v>
      </c>
      <c r="I53" s="127">
        <v>1</v>
      </c>
      <c r="J53" s="127">
        <v>1595289.3000000003</v>
      </c>
      <c r="L53" s="127">
        <v>66</v>
      </c>
      <c r="M53" s="127">
        <v>32.169342240409513</v>
      </c>
      <c r="N53" s="127">
        <v>80</v>
      </c>
      <c r="O53" s="127">
        <v>80</v>
      </c>
      <c r="T53" s="62">
        <f t="shared" si="5"/>
        <v>0</v>
      </c>
      <c r="U53" s="62">
        <f t="shared" si="6"/>
        <v>0</v>
      </c>
      <c r="V53" s="62">
        <f t="shared" si="7"/>
        <v>0</v>
      </c>
      <c r="W53" s="62">
        <f t="shared" si="8"/>
        <v>0</v>
      </c>
    </row>
    <row r="54" spans="2:23">
      <c r="B54" s="133">
        <v>164</v>
      </c>
      <c r="C54" s="133">
        <v>17</v>
      </c>
      <c r="D54" s="134" t="s">
        <v>137</v>
      </c>
      <c r="E54" s="96"/>
      <c r="F54" s="97"/>
      <c r="G54" s="61">
        <f>HLOOKUP('2. Notes and Assumptions'!$C$16,$L$3:$O$162,ROWS($L$3:L54),FALSE)</f>
        <v>80</v>
      </c>
      <c r="H54" s="61">
        <f t="shared" si="0"/>
        <v>80</v>
      </c>
      <c r="I54" s="127">
        <v>2</v>
      </c>
      <c r="J54" s="127">
        <v>2152966.29</v>
      </c>
      <c r="L54" s="127">
        <v>66</v>
      </c>
      <c r="M54" s="127">
        <v>32.169342240409513</v>
      </c>
      <c r="N54" s="127">
        <v>80</v>
      </c>
      <c r="O54" s="127">
        <v>80</v>
      </c>
      <c r="T54" s="62">
        <f t="shared" si="5"/>
        <v>0</v>
      </c>
      <c r="U54" s="62">
        <f t="shared" si="6"/>
        <v>0</v>
      </c>
      <c r="V54" s="62">
        <f t="shared" si="7"/>
        <v>0</v>
      </c>
      <c r="W54" s="62">
        <f t="shared" si="8"/>
        <v>0</v>
      </c>
    </row>
    <row r="55" spans="2:23">
      <c r="B55" s="133">
        <v>176</v>
      </c>
      <c r="C55" s="133">
        <v>18</v>
      </c>
      <c r="D55" s="134" t="s">
        <v>137</v>
      </c>
      <c r="E55" s="96"/>
      <c r="F55" s="97"/>
      <c r="G55" s="61">
        <f>HLOOKUP('2. Notes and Assumptions'!$C$16,$L$3:$O$162,ROWS($L$3:L55),FALSE)</f>
        <v>20</v>
      </c>
      <c r="H55" s="61">
        <f t="shared" si="0"/>
        <v>20</v>
      </c>
      <c r="I55" s="127">
        <v>3</v>
      </c>
      <c r="J55" s="127">
        <v>540126</v>
      </c>
      <c r="L55" s="127">
        <v>66</v>
      </c>
      <c r="M55" s="127">
        <v>32.169342240409513</v>
      </c>
      <c r="N55" s="127">
        <v>20</v>
      </c>
      <c r="O55" s="127">
        <v>20</v>
      </c>
      <c r="T55" s="62">
        <f t="shared" si="5"/>
        <v>0</v>
      </c>
      <c r="U55" s="62">
        <f t="shared" si="6"/>
        <v>0</v>
      </c>
      <c r="V55" s="62">
        <f t="shared" si="7"/>
        <v>0</v>
      </c>
      <c r="W55" s="62">
        <f t="shared" si="8"/>
        <v>0</v>
      </c>
    </row>
    <row r="56" spans="2:23">
      <c r="B56" s="133">
        <v>178</v>
      </c>
      <c r="C56" s="133">
        <v>18</v>
      </c>
      <c r="D56" s="134" t="s">
        <v>137</v>
      </c>
      <c r="E56" s="96"/>
      <c r="F56" s="97"/>
      <c r="G56" s="61">
        <f>HLOOKUP('2. Notes and Assumptions'!$C$16,$L$3:$O$162,ROWS($L$3:L56),FALSE)</f>
        <v>20</v>
      </c>
      <c r="H56" s="61">
        <f t="shared" si="0"/>
        <v>20</v>
      </c>
      <c r="I56" s="127">
        <v>4</v>
      </c>
      <c r="J56" s="127">
        <v>1582665</v>
      </c>
      <c r="L56" s="127">
        <v>66</v>
      </c>
      <c r="M56" s="127">
        <v>32.169342240409513</v>
      </c>
      <c r="N56" s="127">
        <v>20</v>
      </c>
      <c r="O56" s="127">
        <v>20</v>
      </c>
      <c r="T56" s="62">
        <f t="shared" si="5"/>
        <v>1582665</v>
      </c>
      <c r="U56" s="62">
        <f t="shared" si="6"/>
        <v>32.169342240409513</v>
      </c>
      <c r="V56" s="62">
        <f t="shared" si="7"/>
        <v>0</v>
      </c>
      <c r="W56" s="62">
        <f t="shared" si="8"/>
        <v>0</v>
      </c>
    </row>
    <row r="57" spans="2:23">
      <c r="B57" s="133">
        <v>180</v>
      </c>
      <c r="C57" s="133">
        <v>18</v>
      </c>
      <c r="D57" s="134" t="s">
        <v>137</v>
      </c>
      <c r="E57" s="96"/>
      <c r="F57" s="97"/>
      <c r="G57" s="61">
        <f>HLOOKUP('2. Notes and Assumptions'!$C$16,$L$3:$O$162,ROWS($L$3:L57),FALSE)</f>
        <v>20</v>
      </c>
      <c r="H57" s="61">
        <f t="shared" si="0"/>
        <v>20</v>
      </c>
      <c r="I57" s="127">
        <v>5</v>
      </c>
      <c r="J57" s="127">
        <v>1143007</v>
      </c>
      <c r="L57" s="127">
        <v>66</v>
      </c>
      <c r="M57" s="127">
        <v>32.169342240409513</v>
      </c>
      <c r="N57" s="127">
        <v>20</v>
      </c>
      <c r="O57" s="127">
        <v>20</v>
      </c>
      <c r="T57" s="62">
        <f t="shared" si="5"/>
        <v>0</v>
      </c>
      <c r="U57" s="62">
        <f t="shared" si="6"/>
        <v>0</v>
      </c>
      <c r="V57" s="62">
        <f t="shared" si="7"/>
        <v>1143007</v>
      </c>
      <c r="W57" s="62">
        <f t="shared" si="8"/>
        <v>32.169342240409513</v>
      </c>
    </row>
    <row r="58" spans="2:23">
      <c r="B58" s="133">
        <v>182</v>
      </c>
      <c r="C58" s="133">
        <v>19</v>
      </c>
      <c r="D58" s="134" t="s">
        <v>137</v>
      </c>
      <c r="E58" s="96"/>
      <c r="F58" s="97"/>
      <c r="G58" s="61">
        <f>HLOOKUP('2. Notes and Assumptions'!$C$16,$L$3:$O$162,ROWS($L$3:L58),FALSE)</f>
        <v>20</v>
      </c>
      <c r="H58" s="61">
        <f t="shared" si="0"/>
        <v>20</v>
      </c>
      <c r="I58" s="127">
        <v>1</v>
      </c>
      <c r="J58" s="127">
        <v>177487.07</v>
      </c>
      <c r="L58" s="127">
        <v>66</v>
      </c>
      <c r="M58" s="127">
        <v>32.169342240409513</v>
      </c>
      <c r="N58" s="127">
        <v>20</v>
      </c>
      <c r="O58" s="127">
        <v>20</v>
      </c>
      <c r="T58" s="62">
        <f t="shared" si="5"/>
        <v>0</v>
      </c>
      <c r="U58" s="62">
        <f t="shared" si="6"/>
        <v>0</v>
      </c>
      <c r="V58" s="62">
        <f t="shared" si="7"/>
        <v>0</v>
      </c>
      <c r="W58" s="62">
        <f t="shared" si="8"/>
        <v>0</v>
      </c>
    </row>
    <row r="59" spans="2:23">
      <c r="B59" s="133">
        <v>184</v>
      </c>
      <c r="C59" s="133">
        <v>19</v>
      </c>
      <c r="D59" s="134" t="s">
        <v>137</v>
      </c>
      <c r="E59" s="96"/>
      <c r="F59" s="97"/>
      <c r="G59" s="61">
        <f>HLOOKUP('2. Notes and Assumptions'!$C$16,$L$3:$O$162,ROWS($L$3:L59),FALSE)</f>
        <v>20</v>
      </c>
      <c r="H59" s="61">
        <f t="shared" si="0"/>
        <v>20</v>
      </c>
      <c r="I59" s="127">
        <v>2</v>
      </c>
      <c r="J59" s="127">
        <v>232452.76</v>
      </c>
      <c r="L59" s="127">
        <v>66</v>
      </c>
      <c r="M59" s="127">
        <v>32.169342240409513</v>
      </c>
      <c r="N59" s="127">
        <v>20</v>
      </c>
      <c r="O59" s="127">
        <v>20</v>
      </c>
      <c r="T59" s="62">
        <f t="shared" si="5"/>
        <v>0</v>
      </c>
      <c r="U59" s="62">
        <f t="shared" si="6"/>
        <v>0</v>
      </c>
      <c r="V59" s="62">
        <f t="shared" si="7"/>
        <v>0</v>
      </c>
      <c r="W59" s="62">
        <f t="shared" si="8"/>
        <v>0</v>
      </c>
    </row>
    <row r="60" spans="2:23">
      <c r="B60" s="133">
        <v>186</v>
      </c>
      <c r="C60" s="133">
        <v>19</v>
      </c>
      <c r="D60" s="134" t="s">
        <v>137</v>
      </c>
      <c r="E60" s="96"/>
      <c r="F60" s="97"/>
      <c r="G60" s="61">
        <f>HLOOKUP('2. Notes and Assumptions'!$C$16,$L$3:$O$162,ROWS($L$3:L60),FALSE)</f>
        <v>20</v>
      </c>
      <c r="H60" s="61">
        <f t="shared" si="0"/>
        <v>20</v>
      </c>
      <c r="I60" s="127">
        <v>3</v>
      </c>
      <c r="J60" s="127">
        <v>2309399</v>
      </c>
      <c r="L60" s="127">
        <v>66</v>
      </c>
      <c r="M60" s="127">
        <v>32.169342240409513</v>
      </c>
      <c r="N60" s="127">
        <v>20</v>
      </c>
      <c r="O60" s="127">
        <v>20</v>
      </c>
      <c r="T60" s="62">
        <f t="shared" si="5"/>
        <v>0</v>
      </c>
      <c r="U60" s="62">
        <f t="shared" si="6"/>
        <v>0</v>
      </c>
      <c r="V60" s="62">
        <f t="shared" si="7"/>
        <v>0</v>
      </c>
      <c r="W60" s="62">
        <f t="shared" si="8"/>
        <v>0</v>
      </c>
    </row>
    <row r="61" spans="2:23">
      <c r="B61" s="133">
        <v>188</v>
      </c>
      <c r="C61" s="133">
        <v>19</v>
      </c>
      <c r="D61" s="134" t="s">
        <v>137</v>
      </c>
      <c r="E61" s="96"/>
      <c r="F61" s="97"/>
      <c r="G61" s="61">
        <f>HLOOKUP('2. Notes and Assumptions'!$C$16,$L$3:$O$162,ROWS($L$3:L61),FALSE)</f>
        <v>20</v>
      </c>
      <c r="H61" s="61">
        <f t="shared" si="0"/>
        <v>20</v>
      </c>
      <c r="I61" s="127">
        <v>4</v>
      </c>
      <c r="J61" s="127">
        <v>145117</v>
      </c>
      <c r="L61" s="127">
        <v>66</v>
      </c>
      <c r="M61" s="127">
        <v>32.169342240409513</v>
      </c>
      <c r="N61" s="127">
        <v>20</v>
      </c>
      <c r="O61" s="127">
        <v>20</v>
      </c>
      <c r="T61" s="62">
        <f t="shared" si="5"/>
        <v>145117</v>
      </c>
      <c r="U61" s="62">
        <f t="shared" si="6"/>
        <v>32.169342240409513</v>
      </c>
      <c r="V61" s="62">
        <f t="shared" si="7"/>
        <v>0</v>
      </c>
      <c r="W61" s="62">
        <f t="shared" si="8"/>
        <v>0</v>
      </c>
    </row>
    <row r="62" spans="2:23">
      <c r="B62" s="133">
        <v>198</v>
      </c>
      <c r="C62" s="133">
        <v>20</v>
      </c>
      <c r="D62" s="134" t="s">
        <v>137</v>
      </c>
      <c r="E62" s="96"/>
      <c r="F62" s="97"/>
      <c r="G62" s="61">
        <f>HLOOKUP('2. Notes and Assumptions'!$C$16,$L$3:$O$162,ROWS($L$3:L62),FALSE)</f>
        <v>80</v>
      </c>
      <c r="H62" s="61">
        <f t="shared" si="0"/>
        <v>80</v>
      </c>
      <c r="I62" s="127">
        <v>4</v>
      </c>
      <c r="J62" s="127">
        <v>1388303</v>
      </c>
      <c r="L62" s="127">
        <v>66</v>
      </c>
      <c r="M62" s="127">
        <v>32.169342240409513</v>
      </c>
      <c r="N62" s="127">
        <v>80</v>
      </c>
      <c r="O62" s="127">
        <v>80</v>
      </c>
      <c r="T62" s="62">
        <f t="shared" si="5"/>
        <v>1388303</v>
      </c>
      <c r="U62" s="62">
        <f t="shared" si="6"/>
        <v>32.169342240409513</v>
      </c>
      <c r="V62" s="62">
        <f t="shared" si="7"/>
        <v>0</v>
      </c>
      <c r="W62" s="62">
        <f t="shared" si="8"/>
        <v>0</v>
      </c>
    </row>
    <row r="63" spans="2:23">
      <c r="B63" s="133">
        <v>200</v>
      </c>
      <c r="C63" s="133">
        <v>20</v>
      </c>
      <c r="D63" s="134" t="s">
        <v>137</v>
      </c>
      <c r="E63" s="96"/>
      <c r="F63" s="97"/>
      <c r="G63" s="61">
        <f>HLOOKUP('2. Notes and Assumptions'!$C$16,$L$3:$O$162,ROWS($L$3:L63),FALSE)</f>
        <v>80</v>
      </c>
      <c r="H63" s="61">
        <f t="shared" si="0"/>
        <v>80</v>
      </c>
      <c r="I63" s="127">
        <v>5</v>
      </c>
      <c r="J63" s="127">
        <v>1428759</v>
      </c>
      <c r="L63" s="127">
        <v>66</v>
      </c>
      <c r="M63" s="127">
        <v>32.169342240409513</v>
      </c>
      <c r="N63" s="127">
        <v>80</v>
      </c>
      <c r="O63" s="127">
        <v>80</v>
      </c>
      <c r="T63" s="62">
        <f t="shared" si="5"/>
        <v>0</v>
      </c>
      <c r="U63" s="62">
        <f t="shared" si="6"/>
        <v>0</v>
      </c>
      <c r="V63" s="62">
        <f t="shared" si="7"/>
        <v>1428759</v>
      </c>
      <c r="W63" s="62">
        <f t="shared" si="8"/>
        <v>32.169342240409513</v>
      </c>
    </row>
    <row r="64" spans="2:23">
      <c r="B64" s="133">
        <v>202</v>
      </c>
      <c r="C64" s="133">
        <v>21</v>
      </c>
      <c r="D64" s="134" t="s">
        <v>137</v>
      </c>
      <c r="E64" s="96"/>
      <c r="F64" s="97"/>
      <c r="G64" s="61">
        <f>HLOOKUP('2. Notes and Assumptions'!$C$16,$L$3:$O$162,ROWS($L$3:L64),FALSE)</f>
        <v>30</v>
      </c>
      <c r="H64" s="61">
        <f t="shared" si="0"/>
        <v>30</v>
      </c>
      <c r="I64" s="127">
        <v>1</v>
      </c>
      <c r="J64" s="127">
        <v>244671</v>
      </c>
      <c r="L64" s="127">
        <v>66</v>
      </c>
      <c r="M64" s="127">
        <v>32.169342240409513</v>
      </c>
      <c r="N64" s="127">
        <v>30</v>
      </c>
      <c r="O64" s="127">
        <v>30</v>
      </c>
      <c r="T64" s="62">
        <f t="shared" si="5"/>
        <v>0</v>
      </c>
      <c r="U64" s="62">
        <f t="shared" si="6"/>
        <v>0</v>
      </c>
      <c r="V64" s="62">
        <f t="shared" si="7"/>
        <v>0</v>
      </c>
      <c r="W64" s="62">
        <f t="shared" si="8"/>
        <v>0</v>
      </c>
    </row>
    <row r="65" spans="2:23">
      <c r="B65" s="133">
        <v>204</v>
      </c>
      <c r="C65" s="133">
        <v>21</v>
      </c>
      <c r="D65" s="134" t="s">
        <v>137</v>
      </c>
      <c r="E65" s="96"/>
      <c r="F65" s="97"/>
      <c r="G65" s="61">
        <f>HLOOKUP('2. Notes and Assumptions'!$C$16,$L$3:$O$162,ROWS($L$3:L65),FALSE)</f>
        <v>30</v>
      </c>
      <c r="H65" s="61">
        <f t="shared" si="0"/>
        <v>30</v>
      </c>
      <c r="I65" s="127">
        <v>2</v>
      </c>
      <c r="J65" s="127">
        <v>2369776.9900000002</v>
      </c>
      <c r="L65" s="127">
        <v>66</v>
      </c>
      <c r="M65" s="127">
        <v>32.169342240409513</v>
      </c>
      <c r="N65" s="127">
        <v>30</v>
      </c>
      <c r="O65" s="127">
        <v>30</v>
      </c>
      <c r="T65" s="62">
        <f t="shared" si="5"/>
        <v>0</v>
      </c>
      <c r="U65" s="62">
        <f t="shared" si="6"/>
        <v>0</v>
      </c>
      <c r="V65" s="62">
        <f t="shared" si="7"/>
        <v>0</v>
      </c>
      <c r="W65" s="62">
        <f t="shared" si="8"/>
        <v>0</v>
      </c>
    </row>
    <row r="66" spans="2:23">
      <c r="B66" s="133">
        <v>216</v>
      </c>
      <c r="C66" s="133">
        <v>22</v>
      </c>
      <c r="D66" s="134" t="s">
        <v>137</v>
      </c>
      <c r="E66" s="96"/>
      <c r="F66" s="97"/>
      <c r="G66" s="61">
        <f>HLOOKUP('2. Notes and Assumptions'!$C$16,$L$3:$O$162,ROWS($L$3:L66),FALSE)</f>
        <v>30</v>
      </c>
      <c r="H66" s="61">
        <f t="shared" si="0"/>
        <v>30</v>
      </c>
      <c r="I66" s="127">
        <v>3</v>
      </c>
      <c r="J66" s="127">
        <v>270063</v>
      </c>
      <c r="L66" s="127">
        <v>66</v>
      </c>
      <c r="M66" s="127">
        <v>32.169342240409513</v>
      </c>
      <c r="N66" s="127">
        <v>30</v>
      </c>
      <c r="O66" s="127">
        <v>30</v>
      </c>
      <c r="T66" s="62">
        <f t="shared" si="5"/>
        <v>0</v>
      </c>
      <c r="U66" s="62">
        <f t="shared" si="6"/>
        <v>0</v>
      </c>
      <c r="V66" s="62">
        <f t="shared" si="7"/>
        <v>0</v>
      </c>
      <c r="W66" s="62">
        <f t="shared" si="8"/>
        <v>0</v>
      </c>
    </row>
    <row r="67" spans="2:23">
      <c r="B67" s="133">
        <v>218</v>
      </c>
      <c r="C67" s="133">
        <v>22</v>
      </c>
      <c r="D67" s="134" t="s">
        <v>137</v>
      </c>
      <c r="E67" s="96"/>
      <c r="F67" s="97"/>
      <c r="G67" s="61">
        <f>HLOOKUP('2. Notes and Assumptions'!$C$16,$L$3:$O$162,ROWS($L$3:L67),FALSE)</f>
        <v>30</v>
      </c>
      <c r="H67" s="61">
        <f t="shared" si="0"/>
        <v>30</v>
      </c>
      <c r="I67" s="127">
        <v>4</v>
      </c>
      <c r="J67" s="127">
        <v>1457718</v>
      </c>
      <c r="L67" s="127">
        <v>66</v>
      </c>
      <c r="M67" s="127">
        <v>32.169342240409513</v>
      </c>
      <c r="N67" s="127">
        <v>30</v>
      </c>
      <c r="O67" s="127">
        <v>30</v>
      </c>
      <c r="T67" s="62">
        <f t="shared" si="5"/>
        <v>1457718</v>
      </c>
      <c r="U67" s="62">
        <f t="shared" si="6"/>
        <v>32.169342240409513</v>
      </c>
      <c r="V67" s="62">
        <f t="shared" si="7"/>
        <v>0</v>
      </c>
      <c r="W67" s="62">
        <f t="shared" si="8"/>
        <v>0</v>
      </c>
    </row>
    <row r="68" spans="2:23">
      <c r="B68" s="133">
        <v>220</v>
      </c>
      <c r="C68" s="133">
        <v>22</v>
      </c>
      <c r="D68" s="134" t="s">
        <v>137</v>
      </c>
      <c r="E68" s="96"/>
      <c r="F68" s="97"/>
      <c r="G68" s="61">
        <f>HLOOKUP('2. Notes and Assumptions'!$C$16,$L$3:$O$162,ROWS($L$3:L68),FALSE)</f>
        <v>30</v>
      </c>
      <c r="H68" s="61">
        <f t="shared" si="0"/>
        <v>30</v>
      </c>
      <c r="I68" s="127">
        <v>5</v>
      </c>
      <c r="J68" s="127">
        <v>714379</v>
      </c>
      <c r="L68" s="127">
        <v>66</v>
      </c>
      <c r="M68" s="127">
        <v>32.169342240409513</v>
      </c>
      <c r="N68" s="127">
        <v>30</v>
      </c>
      <c r="O68" s="127">
        <v>30</v>
      </c>
      <c r="T68" s="62">
        <f t="shared" si="5"/>
        <v>0</v>
      </c>
      <c r="U68" s="62">
        <f t="shared" si="6"/>
        <v>0</v>
      </c>
      <c r="V68" s="62">
        <f t="shared" si="7"/>
        <v>714379</v>
      </c>
      <c r="W68" s="62">
        <f t="shared" si="8"/>
        <v>32.169342240409513</v>
      </c>
    </row>
    <row r="69" spans="2:23">
      <c r="B69" s="133">
        <v>222</v>
      </c>
      <c r="C69" s="133">
        <v>23</v>
      </c>
      <c r="D69" s="134" t="s">
        <v>137</v>
      </c>
      <c r="E69" s="96"/>
      <c r="F69" s="97"/>
      <c r="G69" s="61">
        <f>HLOOKUP('2. Notes and Assumptions'!$C$16,$L$3:$O$162,ROWS($L$3:L69),FALSE)</f>
        <v>60</v>
      </c>
      <c r="H69" s="61">
        <f t="shared" ref="H69:H132" si="9">G69</f>
        <v>60</v>
      </c>
      <c r="I69" s="127">
        <v>1</v>
      </c>
      <c r="J69" s="127">
        <v>410532.7</v>
      </c>
      <c r="L69" s="127">
        <v>66</v>
      </c>
      <c r="M69" s="127">
        <v>32.169342240409513</v>
      </c>
      <c r="N69" s="127">
        <v>60</v>
      </c>
      <c r="O69" s="127">
        <v>60</v>
      </c>
      <c r="T69" s="62">
        <f t="shared" si="5"/>
        <v>0</v>
      </c>
      <c r="U69" s="62">
        <f t="shared" si="6"/>
        <v>0</v>
      </c>
      <c r="V69" s="62">
        <f t="shared" si="7"/>
        <v>0</v>
      </c>
      <c r="W69" s="62">
        <f t="shared" si="8"/>
        <v>0</v>
      </c>
    </row>
    <row r="70" spans="2:23">
      <c r="B70" s="133">
        <v>224</v>
      </c>
      <c r="C70" s="133">
        <v>23</v>
      </c>
      <c r="D70" s="134" t="s">
        <v>137</v>
      </c>
      <c r="E70" s="96"/>
      <c r="F70" s="97"/>
      <c r="G70" s="61">
        <f>HLOOKUP('2. Notes and Assumptions'!$C$16,$L$3:$O$162,ROWS($L$3:L70),FALSE)</f>
        <v>60</v>
      </c>
      <c r="H70" s="61">
        <f t="shared" si="9"/>
        <v>60</v>
      </c>
      <c r="I70" s="127">
        <v>2</v>
      </c>
      <c r="J70" s="127">
        <v>168700.6</v>
      </c>
      <c r="L70" s="127">
        <v>66</v>
      </c>
      <c r="M70" s="127">
        <v>32.169342240409513</v>
      </c>
      <c r="N70" s="127">
        <v>60</v>
      </c>
      <c r="O70" s="127">
        <v>60</v>
      </c>
      <c r="T70" s="62">
        <f t="shared" si="5"/>
        <v>0</v>
      </c>
      <c r="U70" s="62">
        <f t="shared" si="6"/>
        <v>0</v>
      </c>
      <c r="V70" s="62">
        <f t="shared" si="7"/>
        <v>0</v>
      </c>
      <c r="W70" s="62">
        <f t="shared" si="8"/>
        <v>0</v>
      </c>
    </row>
    <row r="71" spans="2:23">
      <c r="B71" s="133">
        <v>226</v>
      </c>
      <c r="C71" s="133">
        <v>23</v>
      </c>
      <c r="D71" s="134" t="s">
        <v>137</v>
      </c>
      <c r="E71" s="96"/>
      <c r="F71" s="97"/>
      <c r="G71" s="61">
        <f>HLOOKUP('2. Notes and Assumptions'!$C$16,$L$3:$O$162,ROWS($L$3:L71),FALSE)</f>
        <v>60</v>
      </c>
      <c r="H71" s="61">
        <f t="shared" si="9"/>
        <v>60</v>
      </c>
      <c r="I71" s="127">
        <v>3</v>
      </c>
      <c r="J71" s="127">
        <v>1627108</v>
      </c>
      <c r="L71" s="127">
        <v>66</v>
      </c>
      <c r="M71" s="127">
        <v>32.169342240409513</v>
      </c>
      <c r="N71" s="127">
        <v>60</v>
      </c>
      <c r="O71" s="127">
        <v>60</v>
      </c>
      <c r="T71" s="62">
        <f t="shared" si="5"/>
        <v>0</v>
      </c>
      <c r="U71" s="62">
        <f t="shared" si="6"/>
        <v>0</v>
      </c>
      <c r="V71" s="62">
        <f t="shared" si="7"/>
        <v>0</v>
      </c>
      <c r="W71" s="62">
        <f t="shared" si="8"/>
        <v>0</v>
      </c>
    </row>
    <row r="72" spans="2:23">
      <c r="B72" s="133">
        <v>232</v>
      </c>
      <c r="C72" s="133">
        <v>24</v>
      </c>
      <c r="D72" s="134" t="s">
        <v>137</v>
      </c>
      <c r="E72" s="96"/>
      <c r="F72" s="97"/>
      <c r="G72" s="61">
        <f>HLOOKUP('2. Notes and Assumptions'!$C$16,$L$3:$O$162,ROWS($L$3:L72),FALSE)</f>
        <v>60</v>
      </c>
      <c r="H72" s="61">
        <f t="shared" si="9"/>
        <v>60</v>
      </c>
      <c r="I72" s="127">
        <v>1</v>
      </c>
      <c r="J72" s="127">
        <v>1980737.99</v>
      </c>
      <c r="L72" s="127">
        <v>66</v>
      </c>
      <c r="M72" s="127">
        <v>32.169342240409513</v>
      </c>
      <c r="N72" s="127">
        <v>60</v>
      </c>
      <c r="O72" s="127">
        <v>60</v>
      </c>
      <c r="T72" s="62">
        <f t="shared" ref="T72:T135" si="10">IF($I72=4,J72,0)</f>
        <v>0</v>
      </c>
      <c r="U72" s="62">
        <f t="shared" ref="U72:U135" si="11">IF($I72=4,M72,0)</f>
        <v>0</v>
      </c>
      <c r="V72" s="62">
        <f t="shared" ref="V72:V135" si="12">IF($I72=5,J72,0)</f>
        <v>0</v>
      </c>
      <c r="W72" s="62">
        <f t="shared" ref="W72:W135" si="13">IF($I72=5,M72,0)</f>
        <v>0</v>
      </c>
    </row>
    <row r="73" spans="2:23">
      <c r="B73" s="133">
        <v>234</v>
      </c>
      <c r="C73" s="133">
        <v>24</v>
      </c>
      <c r="D73" s="134" t="s">
        <v>137</v>
      </c>
      <c r="E73" s="96"/>
      <c r="F73" s="97"/>
      <c r="G73" s="61">
        <f>HLOOKUP('2. Notes and Assumptions'!$C$16,$L$3:$O$162,ROWS($L$3:L73),FALSE)</f>
        <v>60</v>
      </c>
      <c r="H73" s="61">
        <f t="shared" si="9"/>
        <v>60</v>
      </c>
      <c r="I73" s="127">
        <v>2</v>
      </c>
      <c r="J73" s="127">
        <v>45627.62999999999</v>
      </c>
      <c r="L73" s="127">
        <v>66</v>
      </c>
      <c r="M73" s="127">
        <v>32.169342240409513</v>
      </c>
      <c r="N73" s="127">
        <v>60</v>
      </c>
      <c r="O73" s="127">
        <v>60</v>
      </c>
      <c r="T73" s="62">
        <f t="shared" si="10"/>
        <v>0</v>
      </c>
      <c r="U73" s="62">
        <f t="shared" si="11"/>
        <v>0</v>
      </c>
      <c r="V73" s="62">
        <f t="shared" si="12"/>
        <v>0</v>
      </c>
      <c r="W73" s="62">
        <f t="shared" si="13"/>
        <v>0</v>
      </c>
    </row>
    <row r="74" spans="2:23">
      <c r="B74" s="133">
        <v>242</v>
      </c>
      <c r="C74" s="133">
        <v>25</v>
      </c>
      <c r="D74" s="134" t="s">
        <v>137</v>
      </c>
      <c r="E74" s="96"/>
      <c r="F74" s="97"/>
      <c r="G74" s="61">
        <f>HLOOKUP('2. Notes and Assumptions'!$C$16,$L$3:$O$162,ROWS($L$3:L74),FALSE)</f>
        <v>80</v>
      </c>
      <c r="H74" s="61">
        <f t="shared" si="9"/>
        <v>80</v>
      </c>
      <c r="I74" s="127">
        <v>1</v>
      </c>
      <c r="J74" s="127">
        <v>288302.26999999996</v>
      </c>
      <c r="L74" s="127">
        <v>66</v>
      </c>
      <c r="M74" s="127">
        <v>32.169342240409513</v>
      </c>
      <c r="N74" s="127">
        <v>80</v>
      </c>
      <c r="O74" s="127">
        <v>80</v>
      </c>
      <c r="T74" s="62">
        <f t="shared" si="10"/>
        <v>0</v>
      </c>
      <c r="U74" s="62">
        <f t="shared" si="11"/>
        <v>0</v>
      </c>
      <c r="V74" s="62">
        <f t="shared" si="12"/>
        <v>0</v>
      </c>
      <c r="W74" s="62">
        <f t="shared" si="13"/>
        <v>0</v>
      </c>
    </row>
    <row r="75" spans="2:23">
      <c r="B75" s="133">
        <v>244</v>
      </c>
      <c r="C75" s="133">
        <v>25</v>
      </c>
      <c r="D75" s="134" t="s">
        <v>137</v>
      </c>
      <c r="E75" s="96"/>
      <c r="F75" s="97"/>
      <c r="G75" s="61">
        <f>HLOOKUP('2. Notes and Assumptions'!$C$16,$L$3:$O$162,ROWS($L$3:L75),FALSE)</f>
        <v>80</v>
      </c>
      <c r="H75" s="61">
        <f t="shared" si="9"/>
        <v>80</v>
      </c>
      <c r="I75" s="127">
        <v>2</v>
      </c>
      <c r="J75" s="127">
        <v>171159.56</v>
      </c>
      <c r="L75" s="127">
        <v>66</v>
      </c>
      <c r="M75" s="127">
        <v>32.169342240409513</v>
      </c>
      <c r="N75" s="127">
        <v>80</v>
      </c>
      <c r="O75" s="127">
        <v>80</v>
      </c>
      <c r="T75" s="62">
        <f t="shared" si="10"/>
        <v>0</v>
      </c>
      <c r="U75" s="62">
        <f t="shared" si="11"/>
        <v>0</v>
      </c>
      <c r="V75" s="62">
        <f t="shared" si="12"/>
        <v>0</v>
      </c>
      <c r="W75" s="62">
        <f t="shared" si="13"/>
        <v>0</v>
      </c>
    </row>
    <row r="76" spans="2:23">
      <c r="B76" s="133">
        <v>246</v>
      </c>
      <c r="C76" s="133">
        <v>25</v>
      </c>
      <c r="D76" s="134" t="s">
        <v>137</v>
      </c>
      <c r="E76" s="96"/>
      <c r="F76" s="97"/>
      <c r="G76" s="61">
        <f>HLOOKUP('2. Notes and Assumptions'!$C$16,$L$3:$O$162,ROWS($L$3:L76),FALSE)</f>
        <v>80</v>
      </c>
      <c r="H76" s="61">
        <f t="shared" si="9"/>
        <v>80</v>
      </c>
      <c r="I76" s="127">
        <v>3</v>
      </c>
      <c r="J76" s="127">
        <v>432101</v>
      </c>
      <c r="L76" s="127">
        <v>66</v>
      </c>
      <c r="M76" s="127">
        <v>32.169342240409513</v>
      </c>
      <c r="N76" s="127">
        <v>80</v>
      </c>
      <c r="O76" s="127">
        <v>80</v>
      </c>
      <c r="T76" s="62">
        <f t="shared" si="10"/>
        <v>0</v>
      </c>
      <c r="U76" s="62">
        <f t="shared" si="11"/>
        <v>0</v>
      </c>
      <c r="V76" s="62">
        <f t="shared" si="12"/>
        <v>0</v>
      </c>
      <c r="W76" s="62">
        <f t="shared" si="13"/>
        <v>0</v>
      </c>
    </row>
    <row r="77" spans="2:23">
      <c r="B77" s="133">
        <v>248</v>
      </c>
      <c r="C77" s="133">
        <v>25</v>
      </c>
      <c r="D77" s="134" t="s">
        <v>137</v>
      </c>
      <c r="E77" s="96"/>
      <c r="F77" s="97"/>
      <c r="G77" s="61">
        <f>HLOOKUP('2. Notes and Assumptions'!$C$16,$L$3:$O$162,ROWS($L$3:L77),FALSE)</f>
        <v>80</v>
      </c>
      <c r="H77" s="61">
        <f t="shared" si="9"/>
        <v>80</v>
      </c>
      <c r="I77" s="127">
        <v>4</v>
      </c>
      <c r="J77" s="127">
        <v>444257</v>
      </c>
      <c r="L77" s="127">
        <v>66</v>
      </c>
      <c r="M77" s="127">
        <v>32.169342240409513</v>
      </c>
      <c r="N77" s="127">
        <v>80</v>
      </c>
      <c r="O77" s="127">
        <v>80</v>
      </c>
      <c r="T77" s="62">
        <f t="shared" si="10"/>
        <v>444257</v>
      </c>
      <c r="U77" s="62">
        <f t="shared" si="11"/>
        <v>32.169342240409513</v>
      </c>
      <c r="V77" s="62">
        <f t="shared" si="12"/>
        <v>0</v>
      </c>
      <c r="W77" s="62">
        <f t="shared" si="13"/>
        <v>0</v>
      </c>
    </row>
    <row r="78" spans="2:23">
      <c r="B78" s="133">
        <v>250</v>
      </c>
      <c r="C78" s="133">
        <v>25</v>
      </c>
      <c r="D78" s="134" t="s">
        <v>137</v>
      </c>
      <c r="E78" s="96"/>
      <c r="F78" s="97"/>
      <c r="G78" s="61">
        <f>HLOOKUP('2. Notes and Assumptions'!$C$16,$L$3:$O$162,ROWS($L$3:L78),FALSE)</f>
        <v>80</v>
      </c>
      <c r="H78" s="61">
        <f t="shared" si="9"/>
        <v>80</v>
      </c>
      <c r="I78" s="127">
        <v>5</v>
      </c>
      <c r="J78" s="127">
        <v>457203</v>
      </c>
      <c r="L78" s="127">
        <v>66</v>
      </c>
      <c r="M78" s="127">
        <v>32.169342240409513</v>
      </c>
      <c r="N78" s="127">
        <v>80</v>
      </c>
      <c r="O78" s="127">
        <v>80</v>
      </c>
      <c r="T78" s="62">
        <f t="shared" si="10"/>
        <v>0</v>
      </c>
      <c r="U78" s="62">
        <f t="shared" si="11"/>
        <v>0</v>
      </c>
      <c r="V78" s="62">
        <f t="shared" si="12"/>
        <v>457203</v>
      </c>
      <c r="W78" s="62">
        <f t="shared" si="13"/>
        <v>32.169342240409513</v>
      </c>
    </row>
    <row r="79" spans="2:23">
      <c r="B79" s="133">
        <v>258</v>
      </c>
      <c r="C79" s="133">
        <v>26</v>
      </c>
      <c r="D79" s="134" t="s">
        <v>137</v>
      </c>
      <c r="E79" s="96"/>
      <c r="F79" s="97"/>
      <c r="G79" s="61">
        <f>HLOOKUP('2. Notes and Assumptions'!$C$16,$L$3:$O$162,ROWS($L$3:L79),FALSE)</f>
        <v>20</v>
      </c>
      <c r="H79" s="61">
        <f t="shared" si="9"/>
        <v>20</v>
      </c>
      <c r="I79" s="127">
        <v>4</v>
      </c>
      <c r="J79" s="127">
        <v>111064</v>
      </c>
      <c r="L79" s="127">
        <v>66</v>
      </c>
      <c r="M79" s="127">
        <v>32.169342240409513</v>
      </c>
      <c r="N79" s="127">
        <v>20</v>
      </c>
      <c r="O79" s="127">
        <v>20</v>
      </c>
      <c r="T79" s="62">
        <f t="shared" si="10"/>
        <v>111064</v>
      </c>
      <c r="U79" s="62">
        <f t="shared" si="11"/>
        <v>32.169342240409513</v>
      </c>
      <c r="V79" s="62">
        <f t="shared" si="12"/>
        <v>0</v>
      </c>
      <c r="W79" s="62">
        <f t="shared" si="13"/>
        <v>0</v>
      </c>
    </row>
    <row r="80" spans="2:23">
      <c r="B80" s="133">
        <v>260</v>
      </c>
      <c r="C80" s="133">
        <v>26</v>
      </c>
      <c r="D80" s="134" t="s">
        <v>137</v>
      </c>
      <c r="E80" s="96"/>
      <c r="F80" s="97"/>
      <c r="G80" s="61">
        <f>HLOOKUP('2. Notes and Assumptions'!$C$16,$L$3:$O$162,ROWS($L$3:L80),FALSE)</f>
        <v>20</v>
      </c>
      <c r="H80" s="61">
        <f t="shared" si="9"/>
        <v>20</v>
      </c>
      <c r="I80" s="127">
        <v>5</v>
      </c>
      <c r="J80" s="127">
        <v>942981</v>
      </c>
      <c r="L80" s="127">
        <v>66</v>
      </c>
      <c r="M80" s="127">
        <v>32.169342240409513</v>
      </c>
      <c r="N80" s="127">
        <v>20</v>
      </c>
      <c r="O80" s="127">
        <v>20</v>
      </c>
      <c r="T80" s="62">
        <f t="shared" si="10"/>
        <v>0</v>
      </c>
      <c r="U80" s="62">
        <f t="shared" si="11"/>
        <v>0</v>
      </c>
      <c r="V80" s="62">
        <f t="shared" si="12"/>
        <v>942981</v>
      </c>
      <c r="W80" s="62">
        <f t="shared" si="13"/>
        <v>32.169342240409513</v>
      </c>
    </row>
    <row r="81" spans="2:23">
      <c r="B81" s="133">
        <v>266</v>
      </c>
      <c r="C81" s="133">
        <v>27</v>
      </c>
      <c r="D81" s="134" t="s">
        <v>137</v>
      </c>
      <c r="E81" s="96"/>
      <c r="F81" s="97"/>
      <c r="G81" s="61">
        <f>HLOOKUP('2. Notes and Assumptions'!$C$16,$L$3:$O$162,ROWS($L$3:L81),FALSE)</f>
        <v>30</v>
      </c>
      <c r="H81" s="61">
        <f t="shared" si="9"/>
        <v>30</v>
      </c>
      <c r="I81" s="127">
        <v>3</v>
      </c>
      <c r="J81" s="127">
        <v>326154.28881605028</v>
      </c>
      <c r="L81" s="127">
        <v>66</v>
      </c>
      <c r="M81" s="127">
        <v>32.169342240409513</v>
      </c>
      <c r="N81" s="127">
        <v>30</v>
      </c>
      <c r="O81" s="127">
        <v>30</v>
      </c>
      <c r="T81" s="62">
        <f t="shared" si="10"/>
        <v>0</v>
      </c>
      <c r="U81" s="62">
        <f t="shared" si="11"/>
        <v>0</v>
      </c>
      <c r="V81" s="62">
        <f t="shared" si="12"/>
        <v>0</v>
      </c>
      <c r="W81" s="62">
        <f t="shared" si="13"/>
        <v>0</v>
      </c>
    </row>
    <row r="82" spans="2:23">
      <c r="B82" s="133">
        <v>268</v>
      </c>
      <c r="C82" s="133">
        <v>27</v>
      </c>
      <c r="D82" s="134" t="s">
        <v>137</v>
      </c>
      <c r="E82" s="96"/>
      <c r="F82" s="97"/>
      <c r="G82" s="61">
        <f>HLOOKUP('2. Notes and Assumptions'!$C$16,$L$3:$O$162,ROWS($L$3:L82),FALSE)</f>
        <v>30</v>
      </c>
      <c r="H82" s="61">
        <f t="shared" si="9"/>
        <v>30</v>
      </c>
      <c r="I82" s="127">
        <v>4</v>
      </c>
      <c r="J82" s="127">
        <v>334642.72972199367</v>
      </c>
      <c r="L82" s="127">
        <v>66</v>
      </c>
      <c r="M82" s="127">
        <v>32.169342240409513</v>
      </c>
      <c r="N82" s="127">
        <v>30</v>
      </c>
      <c r="O82" s="127">
        <v>30</v>
      </c>
      <c r="T82" s="62">
        <f t="shared" si="10"/>
        <v>334642.72972199367</v>
      </c>
      <c r="U82" s="62">
        <f t="shared" si="11"/>
        <v>32.169342240409513</v>
      </c>
      <c r="V82" s="62">
        <f t="shared" si="12"/>
        <v>0</v>
      </c>
      <c r="W82" s="62">
        <f t="shared" si="13"/>
        <v>0</v>
      </c>
    </row>
    <row r="83" spans="2:23">
      <c r="B83" s="133">
        <v>270</v>
      </c>
      <c r="C83" s="133">
        <v>27</v>
      </c>
      <c r="D83" s="134" t="s">
        <v>137</v>
      </c>
      <c r="E83" s="96"/>
      <c r="F83" s="97"/>
      <c r="G83" s="61">
        <f>HLOOKUP('2. Notes and Assumptions'!$C$16,$L$3:$O$162,ROWS($L$3:L83),FALSE)</f>
        <v>30</v>
      </c>
      <c r="H83" s="61">
        <f t="shared" si="9"/>
        <v>30</v>
      </c>
      <c r="I83" s="127">
        <v>5</v>
      </c>
      <c r="J83" s="127">
        <v>364585.1700548681</v>
      </c>
      <c r="L83" s="127">
        <v>66</v>
      </c>
      <c r="M83" s="127">
        <v>32.169342240409513</v>
      </c>
      <c r="N83" s="127">
        <v>30</v>
      </c>
      <c r="O83" s="127">
        <v>30</v>
      </c>
      <c r="T83" s="62">
        <f t="shared" si="10"/>
        <v>0</v>
      </c>
      <c r="U83" s="62">
        <f t="shared" si="11"/>
        <v>0</v>
      </c>
      <c r="V83" s="62">
        <f t="shared" si="12"/>
        <v>364585.1700548681</v>
      </c>
      <c r="W83" s="62">
        <f t="shared" si="13"/>
        <v>32.169342240409513</v>
      </c>
    </row>
    <row r="84" spans="2:23">
      <c r="B84" s="133">
        <v>278</v>
      </c>
      <c r="C84" s="133">
        <v>28</v>
      </c>
      <c r="D84" s="134" t="s">
        <v>137</v>
      </c>
      <c r="E84" s="96"/>
      <c r="F84" s="97"/>
      <c r="G84" s="61">
        <f>HLOOKUP('2. Notes and Assumptions'!$C$16,$L$3:$O$162,ROWS($L$3:L84),FALSE)</f>
        <v>30</v>
      </c>
      <c r="H84" s="61">
        <f t="shared" si="9"/>
        <v>30</v>
      </c>
      <c r="I84" s="127">
        <v>4</v>
      </c>
      <c r="J84" s="127">
        <v>430374</v>
      </c>
      <c r="L84" s="127">
        <v>66</v>
      </c>
      <c r="M84" s="127">
        <v>32.169342240409513</v>
      </c>
      <c r="N84" s="127">
        <v>30</v>
      </c>
      <c r="O84" s="127">
        <v>30</v>
      </c>
      <c r="T84" s="62">
        <f t="shared" si="10"/>
        <v>430374</v>
      </c>
      <c r="U84" s="62">
        <f t="shared" si="11"/>
        <v>32.169342240409513</v>
      </c>
      <c r="V84" s="62">
        <f t="shared" si="12"/>
        <v>0</v>
      </c>
      <c r="W84" s="62">
        <f t="shared" si="13"/>
        <v>0</v>
      </c>
    </row>
    <row r="85" spans="2:23">
      <c r="B85" s="133">
        <v>280</v>
      </c>
      <c r="C85" s="133">
        <v>28</v>
      </c>
      <c r="D85" s="134" t="s">
        <v>137</v>
      </c>
      <c r="E85" s="96"/>
      <c r="F85" s="97"/>
      <c r="G85" s="61">
        <f>HLOOKUP('2. Notes and Assumptions'!$C$16,$L$3:$O$162,ROWS($L$3:L85),FALSE)</f>
        <v>30</v>
      </c>
      <c r="H85" s="61">
        <f t="shared" si="9"/>
        <v>30</v>
      </c>
      <c r="I85" s="127">
        <v>5</v>
      </c>
      <c r="J85" s="127">
        <v>571504</v>
      </c>
      <c r="L85" s="127">
        <v>66</v>
      </c>
      <c r="M85" s="127">
        <v>32.169342240409513</v>
      </c>
      <c r="N85" s="127">
        <v>30</v>
      </c>
      <c r="O85" s="127">
        <v>30</v>
      </c>
      <c r="T85" s="62">
        <f t="shared" si="10"/>
        <v>0</v>
      </c>
      <c r="U85" s="62">
        <f t="shared" si="11"/>
        <v>0</v>
      </c>
      <c r="V85" s="62">
        <f t="shared" si="12"/>
        <v>571504</v>
      </c>
      <c r="W85" s="62">
        <f t="shared" si="13"/>
        <v>32.169342240409513</v>
      </c>
    </row>
    <row r="86" spans="2:23">
      <c r="B86" s="133">
        <v>282</v>
      </c>
      <c r="C86" s="133">
        <v>29</v>
      </c>
      <c r="D86" s="134" t="s">
        <v>137</v>
      </c>
      <c r="E86" s="96"/>
      <c r="F86" s="97"/>
      <c r="G86" s="61">
        <f>HLOOKUP('2. Notes and Assumptions'!$C$16,$L$3:$O$162,ROWS($L$3:L86),FALSE)</f>
        <v>80</v>
      </c>
      <c r="H86" s="61">
        <f t="shared" si="9"/>
        <v>80</v>
      </c>
      <c r="I86" s="127">
        <v>1</v>
      </c>
      <c r="J86" s="127">
        <v>92978.75</v>
      </c>
      <c r="L86" s="127">
        <v>66</v>
      </c>
      <c r="M86" s="127">
        <v>32.169342240409513</v>
      </c>
      <c r="N86" s="127">
        <v>80</v>
      </c>
      <c r="O86" s="127">
        <v>80</v>
      </c>
      <c r="T86" s="62">
        <f t="shared" si="10"/>
        <v>0</v>
      </c>
      <c r="U86" s="62">
        <f t="shared" si="11"/>
        <v>0</v>
      </c>
      <c r="V86" s="62">
        <f t="shared" si="12"/>
        <v>0</v>
      </c>
      <c r="W86" s="62">
        <f t="shared" si="13"/>
        <v>0</v>
      </c>
    </row>
    <row r="87" spans="2:23">
      <c r="B87" s="133">
        <v>284</v>
      </c>
      <c r="C87" s="133">
        <v>29</v>
      </c>
      <c r="D87" s="134" t="s">
        <v>137</v>
      </c>
      <c r="E87" s="96"/>
      <c r="F87" s="97"/>
      <c r="G87" s="61">
        <f>HLOOKUP('2. Notes and Assumptions'!$C$16,$L$3:$O$162,ROWS($L$3:L87),FALSE)</f>
        <v>80</v>
      </c>
      <c r="H87" s="61">
        <f t="shared" si="9"/>
        <v>80</v>
      </c>
      <c r="I87" s="127">
        <v>2</v>
      </c>
      <c r="J87" s="127">
        <v>738406.73</v>
      </c>
      <c r="L87" s="127">
        <v>66</v>
      </c>
      <c r="M87" s="127">
        <v>32.169342240409513</v>
      </c>
      <c r="N87" s="127">
        <v>80</v>
      </c>
      <c r="O87" s="127">
        <v>80</v>
      </c>
      <c r="T87" s="62">
        <f t="shared" si="10"/>
        <v>0</v>
      </c>
      <c r="U87" s="62">
        <f t="shared" si="11"/>
        <v>0</v>
      </c>
      <c r="V87" s="62">
        <f t="shared" si="12"/>
        <v>0</v>
      </c>
      <c r="W87" s="62">
        <f t="shared" si="13"/>
        <v>0</v>
      </c>
    </row>
    <row r="88" spans="2:23">
      <c r="B88" s="133">
        <v>292</v>
      </c>
      <c r="C88" s="133">
        <v>30</v>
      </c>
      <c r="D88" s="134" t="s">
        <v>137</v>
      </c>
      <c r="E88" s="96"/>
      <c r="F88" s="97"/>
      <c r="G88" s="61">
        <f>HLOOKUP('2. Notes and Assumptions'!$C$16,$L$3:$O$162,ROWS($L$3:L88),FALSE)</f>
        <v>60</v>
      </c>
      <c r="H88" s="61">
        <f t="shared" si="9"/>
        <v>60</v>
      </c>
      <c r="I88" s="127">
        <v>1</v>
      </c>
      <c r="J88" s="127">
        <v>805386.86999999988</v>
      </c>
      <c r="L88" s="127">
        <v>66</v>
      </c>
      <c r="M88" s="127">
        <v>32.169342240409513</v>
      </c>
      <c r="N88" s="127">
        <v>60</v>
      </c>
      <c r="O88" s="127">
        <v>60</v>
      </c>
      <c r="T88" s="62">
        <f t="shared" si="10"/>
        <v>0</v>
      </c>
      <c r="U88" s="62">
        <f t="shared" si="11"/>
        <v>0</v>
      </c>
      <c r="V88" s="62">
        <f t="shared" si="12"/>
        <v>0</v>
      </c>
      <c r="W88" s="62">
        <f t="shared" si="13"/>
        <v>0</v>
      </c>
    </row>
    <row r="89" spans="2:23">
      <c r="B89" s="133">
        <v>294</v>
      </c>
      <c r="C89" s="133">
        <v>30</v>
      </c>
      <c r="D89" s="134" t="s">
        <v>137</v>
      </c>
      <c r="E89" s="96"/>
      <c r="F89" s="97"/>
      <c r="G89" s="61">
        <f>HLOOKUP('2. Notes and Assumptions'!$C$16,$L$3:$O$162,ROWS($L$3:L89),FALSE)</f>
        <v>60</v>
      </c>
      <c r="H89" s="61">
        <f t="shared" si="9"/>
        <v>60</v>
      </c>
      <c r="I89" s="127">
        <v>2</v>
      </c>
      <c r="J89" s="127">
        <v>22168.769999999997</v>
      </c>
      <c r="L89" s="127">
        <v>66</v>
      </c>
      <c r="M89" s="127">
        <v>32.169342240409513</v>
      </c>
      <c r="N89" s="127">
        <v>60</v>
      </c>
      <c r="O89" s="127">
        <v>60</v>
      </c>
      <c r="T89" s="62">
        <f t="shared" si="10"/>
        <v>0</v>
      </c>
      <c r="U89" s="62">
        <f t="shared" si="11"/>
        <v>0</v>
      </c>
      <c r="V89" s="62">
        <f t="shared" si="12"/>
        <v>0</v>
      </c>
      <c r="W89" s="62">
        <f t="shared" si="13"/>
        <v>0</v>
      </c>
    </row>
    <row r="90" spans="2:23">
      <c r="B90" s="133">
        <v>302</v>
      </c>
      <c r="C90" s="133">
        <v>31</v>
      </c>
      <c r="D90" s="134" t="s">
        <v>137</v>
      </c>
      <c r="E90" s="96"/>
      <c r="F90" s="97"/>
      <c r="G90" s="61">
        <f>HLOOKUP('2. Notes and Assumptions'!$C$16,$L$3:$O$162,ROWS($L$3:L90),FALSE)</f>
        <v>60</v>
      </c>
      <c r="H90" s="61">
        <f t="shared" si="9"/>
        <v>60</v>
      </c>
      <c r="I90" s="127">
        <v>1</v>
      </c>
      <c r="J90" s="127">
        <v>534805.83000000007</v>
      </c>
      <c r="L90" s="127">
        <v>66</v>
      </c>
      <c r="M90" s="127">
        <v>32.169342240409513</v>
      </c>
      <c r="N90" s="127">
        <v>60</v>
      </c>
      <c r="O90" s="127">
        <v>60</v>
      </c>
      <c r="T90" s="62">
        <f t="shared" si="10"/>
        <v>0</v>
      </c>
      <c r="U90" s="62">
        <f t="shared" si="11"/>
        <v>0</v>
      </c>
      <c r="V90" s="62">
        <f t="shared" si="12"/>
        <v>0</v>
      </c>
      <c r="W90" s="62">
        <f t="shared" si="13"/>
        <v>0</v>
      </c>
    </row>
    <row r="91" spans="2:23">
      <c r="B91" s="133">
        <v>304</v>
      </c>
      <c r="C91" s="133">
        <v>31</v>
      </c>
      <c r="D91" s="134" t="s">
        <v>137</v>
      </c>
      <c r="E91" s="96"/>
      <c r="F91" s="97"/>
      <c r="G91" s="61">
        <f>HLOOKUP('2. Notes and Assumptions'!$C$16,$L$3:$O$162,ROWS($L$3:L91),FALSE)</f>
        <v>60</v>
      </c>
      <c r="H91" s="61">
        <f t="shared" si="9"/>
        <v>60</v>
      </c>
      <c r="I91" s="127">
        <v>2</v>
      </c>
      <c r="J91" s="127">
        <v>164445.18</v>
      </c>
      <c r="L91" s="127">
        <v>66</v>
      </c>
      <c r="M91" s="127">
        <v>32.169342240409513</v>
      </c>
      <c r="N91" s="127">
        <v>60</v>
      </c>
      <c r="O91" s="127">
        <v>60</v>
      </c>
      <c r="T91" s="62">
        <f t="shared" si="10"/>
        <v>0</v>
      </c>
      <c r="U91" s="62">
        <f t="shared" si="11"/>
        <v>0</v>
      </c>
      <c r="V91" s="62">
        <f t="shared" si="12"/>
        <v>0</v>
      </c>
      <c r="W91" s="62">
        <f t="shared" si="13"/>
        <v>0</v>
      </c>
    </row>
    <row r="92" spans="2:23">
      <c r="B92" s="133">
        <v>316</v>
      </c>
      <c r="C92" s="133">
        <v>32</v>
      </c>
      <c r="D92" s="134" t="s">
        <v>137</v>
      </c>
      <c r="E92" s="96"/>
      <c r="F92" s="97"/>
      <c r="G92" s="61">
        <f>HLOOKUP('2. Notes and Assumptions'!$C$16,$L$3:$O$162,ROWS($L$3:L92),FALSE)</f>
        <v>30</v>
      </c>
      <c r="H92" s="61">
        <f t="shared" si="9"/>
        <v>30</v>
      </c>
      <c r="I92" s="127">
        <v>3</v>
      </c>
      <c r="J92" s="127">
        <v>652308.57763210055</v>
      </c>
      <c r="L92" s="127">
        <v>66</v>
      </c>
      <c r="M92" s="127">
        <v>32.169342240409513</v>
      </c>
      <c r="N92" s="127">
        <v>30</v>
      </c>
      <c r="O92" s="127">
        <v>30</v>
      </c>
      <c r="T92" s="62">
        <f t="shared" si="10"/>
        <v>0</v>
      </c>
      <c r="U92" s="62">
        <f t="shared" si="11"/>
        <v>0</v>
      </c>
      <c r="V92" s="62">
        <f t="shared" si="12"/>
        <v>0</v>
      </c>
      <c r="W92" s="62">
        <f t="shared" si="13"/>
        <v>0</v>
      </c>
    </row>
    <row r="93" spans="2:23">
      <c r="B93" s="133">
        <v>322</v>
      </c>
      <c r="C93" s="133">
        <v>33</v>
      </c>
      <c r="D93" s="134" t="s">
        <v>137</v>
      </c>
      <c r="E93" s="96"/>
      <c r="F93" s="97"/>
      <c r="G93" s="61">
        <f>HLOOKUP('2. Notes and Assumptions'!$C$16,$L$3:$O$162,ROWS($L$3:L93),FALSE)</f>
        <v>60</v>
      </c>
      <c r="H93" s="61">
        <f t="shared" si="9"/>
        <v>60</v>
      </c>
      <c r="I93" s="127">
        <v>1</v>
      </c>
      <c r="J93" s="127">
        <v>16470.710000000006</v>
      </c>
      <c r="L93" s="127">
        <v>66</v>
      </c>
      <c r="M93" s="127">
        <v>32.169342240409513</v>
      </c>
      <c r="N93" s="127">
        <v>60</v>
      </c>
      <c r="O93" s="127">
        <v>60</v>
      </c>
      <c r="T93" s="62">
        <f t="shared" si="10"/>
        <v>0</v>
      </c>
      <c r="U93" s="62">
        <f t="shared" si="11"/>
        <v>0</v>
      </c>
      <c r="V93" s="62">
        <f t="shared" si="12"/>
        <v>0</v>
      </c>
      <c r="W93" s="62">
        <f t="shared" si="13"/>
        <v>0</v>
      </c>
    </row>
    <row r="94" spans="2:23">
      <c r="B94" s="133">
        <v>324</v>
      </c>
      <c r="C94" s="133">
        <v>33</v>
      </c>
      <c r="D94" s="134" t="s">
        <v>137</v>
      </c>
      <c r="E94" s="96"/>
      <c r="F94" s="97"/>
      <c r="G94" s="61">
        <f>HLOOKUP('2. Notes and Assumptions'!$C$16,$L$3:$O$162,ROWS($L$3:L94),FALSE)</f>
        <v>60</v>
      </c>
      <c r="H94" s="61">
        <f t="shared" si="9"/>
        <v>60</v>
      </c>
      <c r="I94" s="127">
        <v>2</v>
      </c>
      <c r="J94" s="127">
        <v>184298.356</v>
      </c>
      <c r="L94" s="127">
        <v>66</v>
      </c>
      <c r="M94" s="127">
        <v>32.169342240409513</v>
      </c>
      <c r="N94" s="127">
        <v>60</v>
      </c>
      <c r="O94" s="127">
        <v>60</v>
      </c>
      <c r="T94" s="62">
        <f t="shared" si="10"/>
        <v>0</v>
      </c>
      <c r="U94" s="62">
        <f t="shared" si="11"/>
        <v>0</v>
      </c>
      <c r="V94" s="62">
        <f t="shared" si="12"/>
        <v>0</v>
      </c>
      <c r="W94" s="62">
        <f t="shared" si="13"/>
        <v>0</v>
      </c>
    </row>
    <row r="95" spans="2:23">
      <c r="B95" s="133">
        <v>326</v>
      </c>
      <c r="C95" s="133">
        <v>33</v>
      </c>
      <c r="D95" s="134" t="s">
        <v>137</v>
      </c>
      <c r="E95" s="96"/>
      <c r="F95" s="97"/>
      <c r="G95" s="61">
        <f>HLOOKUP('2. Notes and Assumptions'!$C$16,$L$3:$O$162,ROWS($L$3:L95),FALSE)</f>
        <v>60</v>
      </c>
      <c r="H95" s="61">
        <f t="shared" si="9"/>
        <v>60</v>
      </c>
      <c r="I95" s="127">
        <v>3</v>
      </c>
      <c r="J95" s="127">
        <v>216050</v>
      </c>
      <c r="L95" s="127">
        <v>66</v>
      </c>
      <c r="M95" s="127">
        <v>32.169342240409513</v>
      </c>
      <c r="N95" s="127">
        <v>60</v>
      </c>
      <c r="O95" s="127">
        <v>60</v>
      </c>
      <c r="T95" s="62">
        <f t="shared" si="10"/>
        <v>0</v>
      </c>
      <c r="U95" s="62">
        <f t="shared" si="11"/>
        <v>0</v>
      </c>
      <c r="V95" s="62">
        <f t="shared" si="12"/>
        <v>0</v>
      </c>
      <c r="W95" s="62">
        <f t="shared" si="13"/>
        <v>0</v>
      </c>
    </row>
    <row r="96" spans="2:23">
      <c r="B96" s="133">
        <v>332</v>
      </c>
      <c r="C96" s="133">
        <v>34</v>
      </c>
      <c r="D96" s="134" t="s">
        <v>137</v>
      </c>
      <c r="E96" s="96"/>
      <c r="F96" s="97"/>
      <c r="G96" s="61">
        <f>HLOOKUP('2. Notes and Assumptions'!$C$16,$L$3:$O$162,ROWS($L$3:L96),FALSE)</f>
        <v>60</v>
      </c>
      <c r="H96" s="61">
        <f t="shared" si="9"/>
        <v>60</v>
      </c>
      <c r="I96" s="127">
        <v>1</v>
      </c>
      <c r="J96" s="127">
        <v>156677.38000000003</v>
      </c>
      <c r="L96" s="127">
        <v>66</v>
      </c>
      <c r="M96" s="127">
        <v>32.169342240409513</v>
      </c>
      <c r="N96" s="127">
        <v>60</v>
      </c>
      <c r="O96" s="127">
        <v>60</v>
      </c>
      <c r="T96" s="62">
        <f t="shared" si="10"/>
        <v>0</v>
      </c>
      <c r="U96" s="62">
        <f t="shared" si="11"/>
        <v>0</v>
      </c>
      <c r="V96" s="62">
        <f t="shared" si="12"/>
        <v>0</v>
      </c>
      <c r="W96" s="62">
        <f t="shared" si="13"/>
        <v>0</v>
      </c>
    </row>
    <row r="97" spans="2:23">
      <c r="B97" s="133">
        <v>334</v>
      </c>
      <c r="C97" s="133">
        <v>34</v>
      </c>
      <c r="D97" s="134" t="s">
        <v>137</v>
      </c>
      <c r="E97" s="96"/>
      <c r="F97" s="97"/>
      <c r="G97" s="61">
        <f>HLOOKUP('2. Notes and Assumptions'!$C$16,$L$3:$O$162,ROWS($L$3:L97),FALSE)</f>
        <v>60</v>
      </c>
      <c r="H97" s="61">
        <f t="shared" si="9"/>
        <v>60</v>
      </c>
      <c r="I97" s="127">
        <v>2</v>
      </c>
      <c r="J97" s="127">
        <v>115350.6</v>
      </c>
      <c r="L97" s="127">
        <v>66</v>
      </c>
      <c r="M97" s="127">
        <v>32.169342240409513</v>
      </c>
      <c r="N97" s="127">
        <v>60</v>
      </c>
      <c r="O97" s="127">
        <v>60</v>
      </c>
      <c r="T97" s="62">
        <f t="shared" si="10"/>
        <v>0</v>
      </c>
      <c r="U97" s="62">
        <f t="shared" si="11"/>
        <v>0</v>
      </c>
      <c r="V97" s="62">
        <f t="shared" si="12"/>
        <v>0</v>
      </c>
      <c r="W97" s="62">
        <f t="shared" si="13"/>
        <v>0</v>
      </c>
    </row>
    <row r="98" spans="2:23">
      <c r="B98" s="133">
        <v>348</v>
      </c>
      <c r="C98" s="133">
        <v>35</v>
      </c>
      <c r="D98" s="134" t="s">
        <v>137</v>
      </c>
      <c r="E98" s="96"/>
      <c r="F98" s="97"/>
      <c r="G98" s="61">
        <f>HLOOKUP('2. Notes and Assumptions'!$C$16,$L$3:$O$162,ROWS($L$3:L98),FALSE)</f>
        <v>60</v>
      </c>
      <c r="H98" s="61">
        <f t="shared" si="9"/>
        <v>60</v>
      </c>
      <c r="I98" s="127">
        <v>4</v>
      </c>
      <c r="J98" s="127">
        <v>261695</v>
      </c>
      <c r="L98" s="127">
        <v>66</v>
      </c>
      <c r="M98" s="127">
        <v>32.169342240409513</v>
      </c>
      <c r="N98" s="127">
        <v>60</v>
      </c>
      <c r="O98" s="127">
        <v>60</v>
      </c>
      <c r="T98" s="62">
        <f t="shared" si="10"/>
        <v>261695</v>
      </c>
      <c r="U98" s="62">
        <f t="shared" si="11"/>
        <v>32.169342240409513</v>
      </c>
      <c r="V98" s="62">
        <f t="shared" si="12"/>
        <v>0</v>
      </c>
      <c r="W98" s="62">
        <f t="shared" si="13"/>
        <v>0</v>
      </c>
    </row>
    <row r="99" spans="2:23">
      <c r="B99" s="133">
        <v>352</v>
      </c>
      <c r="C99" s="133">
        <v>36</v>
      </c>
      <c r="D99" s="134" t="s">
        <v>137</v>
      </c>
      <c r="E99" s="96"/>
      <c r="F99" s="97"/>
      <c r="G99" s="61">
        <f>HLOOKUP('2. Notes and Assumptions'!$C$16,$L$3:$O$162,ROWS($L$3:L99),FALSE)</f>
        <v>60</v>
      </c>
      <c r="H99" s="61">
        <f t="shared" si="9"/>
        <v>60</v>
      </c>
      <c r="I99" s="127">
        <v>1</v>
      </c>
      <c r="J99" s="127">
        <v>120959.48000000008</v>
      </c>
      <c r="L99" s="127">
        <v>66</v>
      </c>
      <c r="M99" s="127">
        <v>32.169342240409513</v>
      </c>
      <c r="N99" s="127">
        <v>60</v>
      </c>
      <c r="O99" s="127">
        <v>60</v>
      </c>
      <c r="T99" s="62">
        <f t="shared" si="10"/>
        <v>0</v>
      </c>
      <c r="U99" s="62">
        <f t="shared" si="11"/>
        <v>0</v>
      </c>
      <c r="V99" s="62">
        <f t="shared" si="12"/>
        <v>0</v>
      </c>
      <c r="W99" s="62">
        <f t="shared" si="13"/>
        <v>0</v>
      </c>
    </row>
    <row r="100" spans="2:23">
      <c r="B100" s="133">
        <v>362</v>
      </c>
      <c r="C100" s="133">
        <v>37</v>
      </c>
      <c r="D100" s="134" t="s">
        <v>137</v>
      </c>
      <c r="E100" s="96"/>
      <c r="F100" s="97"/>
      <c r="G100" s="61">
        <f>HLOOKUP('2. Notes and Assumptions'!$C$16,$L$3:$O$162,ROWS($L$3:L100),FALSE)</f>
        <v>60</v>
      </c>
      <c r="H100" s="61">
        <f t="shared" si="9"/>
        <v>60</v>
      </c>
      <c r="I100" s="127">
        <v>1</v>
      </c>
      <c r="J100" s="127">
        <v>100689.83999999997</v>
      </c>
      <c r="L100" s="127">
        <v>66</v>
      </c>
      <c r="M100" s="127">
        <v>32.169342240409513</v>
      </c>
      <c r="N100" s="127">
        <v>60</v>
      </c>
      <c r="O100" s="127">
        <v>60</v>
      </c>
      <c r="T100" s="62">
        <f t="shared" si="10"/>
        <v>0</v>
      </c>
      <c r="U100" s="62">
        <f t="shared" si="11"/>
        <v>0</v>
      </c>
      <c r="V100" s="62">
        <f t="shared" si="12"/>
        <v>0</v>
      </c>
      <c r="W100" s="62">
        <f t="shared" si="13"/>
        <v>0</v>
      </c>
    </row>
    <row r="101" spans="2:23">
      <c r="B101" s="133">
        <v>372</v>
      </c>
      <c r="C101" s="133">
        <v>38</v>
      </c>
      <c r="D101" s="134" t="s">
        <v>137</v>
      </c>
      <c r="E101" s="96"/>
      <c r="F101" s="97"/>
      <c r="G101" s="61">
        <f>HLOOKUP('2. Notes and Assumptions'!$C$16,$L$3:$O$162,ROWS($L$3:L101),FALSE)</f>
        <v>80</v>
      </c>
      <c r="H101" s="61">
        <f t="shared" si="9"/>
        <v>80</v>
      </c>
      <c r="I101" s="127">
        <v>1</v>
      </c>
      <c r="J101" s="127">
        <v>70748.930000000008</v>
      </c>
      <c r="L101" s="127">
        <v>66</v>
      </c>
      <c r="M101" s="127">
        <v>32.169342240409513</v>
      </c>
      <c r="N101" s="127">
        <v>80</v>
      </c>
      <c r="O101" s="127">
        <v>80</v>
      </c>
      <c r="T101" s="62">
        <f t="shared" si="10"/>
        <v>0</v>
      </c>
      <c r="U101" s="62">
        <f t="shared" si="11"/>
        <v>0</v>
      </c>
      <c r="V101" s="62">
        <f t="shared" si="12"/>
        <v>0</v>
      </c>
      <c r="W101" s="62">
        <f t="shared" si="13"/>
        <v>0</v>
      </c>
    </row>
    <row r="102" spans="2:23">
      <c r="B102" s="133">
        <v>812</v>
      </c>
      <c r="C102" s="133">
        <v>82</v>
      </c>
      <c r="D102" s="134" t="s">
        <v>137</v>
      </c>
      <c r="E102" s="96"/>
      <c r="F102" s="97"/>
      <c r="G102" s="61">
        <f>HLOOKUP('2. Notes and Assumptions'!$C$16,$L$3:$O$162,ROWS($L$3:L102),FALSE)</f>
        <v>10</v>
      </c>
      <c r="H102" s="61">
        <f t="shared" si="9"/>
        <v>10</v>
      </c>
      <c r="I102" s="127">
        <v>1</v>
      </c>
      <c r="J102" s="127">
        <v>142399.21000000002</v>
      </c>
      <c r="L102" s="127">
        <v>66</v>
      </c>
      <c r="M102" s="127">
        <v>32.169342240409513</v>
      </c>
      <c r="N102" s="127">
        <v>33.33</v>
      </c>
      <c r="O102" s="127">
        <v>10</v>
      </c>
      <c r="T102" s="62">
        <f t="shared" si="10"/>
        <v>0</v>
      </c>
      <c r="U102" s="62">
        <f t="shared" si="11"/>
        <v>0</v>
      </c>
      <c r="V102" s="62">
        <f t="shared" si="12"/>
        <v>0</v>
      </c>
      <c r="W102" s="62">
        <f t="shared" si="13"/>
        <v>0</v>
      </c>
    </row>
    <row r="103" spans="2:23">
      <c r="B103" s="133">
        <v>822</v>
      </c>
      <c r="C103" s="133">
        <v>83</v>
      </c>
      <c r="D103" s="134" t="s">
        <v>137</v>
      </c>
      <c r="E103" s="96"/>
      <c r="F103" s="97"/>
      <c r="G103" s="61">
        <f>HLOOKUP('2. Notes and Assumptions'!$C$16,$L$3:$O$162,ROWS($L$3:L103),FALSE)</f>
        <v>5</v>
      </c>
      <c r="H103" s="61">
        <f t="shared" si="9"/>
        <v>5</v>
      </c>
      <c r="I103" s="127">
        <v>1</v>
      </c>
      <c r="J103" s="127">
        <v>24808.75</v>
      </c>
      <c r="L103" s="127">
        <v>66</v>
      </c>
      <c r="M103" s="127">
        <v>32.169342240409513</v>
      </c>
      <c r="N103" s="127">
        <v>5</v>
      </c>
      <c r="O103" s="127">
        <v>5</v>
      </c>
      <c r="T103" s="62">
        <f t="shared" si="10"/>
        <v>0</v>
      </c>
      <c r="U103" s="62">
        <f t="shared" si="11"/>
        <v>0</v>
      </c>
      <c r="V103" s="62">
        <f t="shared" si="12"/>
        <v>0</v>
      </c>
      <c r="W103" s="62">
        <f t="shared" si="13"/>
        <v>0</v>
      </c>
    </row>
    <row r="104" spans="2:23">
      <c r="B104" s="133">
        <v>834</v>
      </c>
      <c r="C104" s="133">
        <v>84</v>
      </c>
      <c r="D104" s="134" t="s">
        <v>137</v>
      </c>
      <c r="E104" s="96"/>
      <c r="F104" s="97"/>
      <c r="G104" s="61">
        <f>HLOOKUP('2. Notes and Assumptions'!$C$16,$L$3:$O$162,ROWS($L$3:L104),FALSE)</f>
        <v>15</v>
      </c>
      <c r="H104" s="61">
        <f t="shared" si="9"/>
        <v>15</v>
      </c>
      <c r="I104" s="127">
        <v>2</v>
      </c>
      <c r="J104" s="127">
        <v>215000</v>
      </c>
      <c r="L104" s="127">
        <v>66</v>
      </c>
      <c r="M104" s="127">
        <v>32.169342240409513</v>
      </c>
      <c r="N104" s="127">
        <v>15</v>
      </c>
      <c r="O104" s="127">
        <v>15</v>
      </c>
      <c r="T104" s="62">
        <f t="shared" si="10"/>
        <v>0</v>
      </c>
      <c r="U104" s="62">
        <f t="shared" si="11"/>
        <v>0</v>
      </c>
      <c r="V104" s="62">
        <f t="shared" si="12"/>
        <v>0</v>
      </c>
      <c r="W104" s="62">
        <f t="shared" si="13"/>
        <v>0</v>
      </c>
    </row>
    <row r="105" spans="2:23">
      <c r="B105" s="133">
        <v>842</v>
      </c>
      <c r="C105" s="133">
        <v>85</v>
      </c>
      <c r="D105" s="134" t="s">
        <v>137</v>
      </c>
      <c r="E105" s="96"/>
      <c r="F105" s="97"/>
      <c r="G105" s="61">
        <f>HLOOKUP('2. Notes and Assumptions'!$C$16,$L$3:$O$162,ROWS($L$3:L105),FALSE)</f>
        <v>5</v>
      </c>
      <c r="H105" s="61">
        <f t="shared" si="9"/>
        <v>5</v>
      </c>
      <c r="I105" s="127">
        <v>1</v>
      </c>
      <c r="J105" s="127">
        <v>575003.31999999995</v>
      </c>
      <c r="L105" s="127">
        <v>66</v>
      </c>
      <c r="M105" s="127">
        <v>32.169342240409513</v>
      </c>
      <c r="N105" s="127">
        <v>5</v>
      </c>
      <c r="O105" s="127">
        <v>5</v>
      </c>
      <c r="T105" s="62">
        <f t="shared" si="10"/>
        <v>0</v>
      </c>
      <c r="U105" s="62">
        <f t="shared" si="11"/>
        <v>0</v>
      </c>
      <c r="V105" s="62">
        <f t="shared" si="12"/>
        <v>0</v>
      </c>
      <c r="W105" s="62">
        <f t="shared" si="13"/>
        <v>0</v>
      </c>
    </row>
    <row r="106" spans="2:23">
      <c r="B106" s="133">
        <v>844</v>
      </c>
      <c r="C106" s="133">
        <v>85</v>
      </c>
      <c r="D106" s="134" t="s">
        <v>137</v>
      </c>
      <c r="E106" s="96"/>
      <c r="F106" s="97"/>
      <c r="G106" s="61">
        <f>HLOOKUP('2. Notes and Assumptions'!$C$16,$L$3:$O$162,ROWS($L$3:L106),FALSE)</f>
        <v>5</v>
      </c>
      <c r="H106" s="61">
        <f t="shared" si="9"/>
        <v>5</v>
      </c>
      <c r="I106" s="127">
        <v>2</v>
      </c>
      <c r="J106" s="127">
        <v>419500.00000000006</v>
      </c>
      <c r="L106" s="127">
        <v>66</v>
      </c>
      <c r="M106" s="127">
        <v>32.169342240409513</v>
      </c>
      <c r="N106" s="127">
        <v>5</v>
      </c>
      <c r="O106" s="127">
        <v>5</v>
      </c>
      <c r="T106" s="62">
        <f t="shared" si="10"/>
        <v>0</v>
      </c>
      <c r="U106" s="62">
        <f t="shared" si="11"/>
        <v>0</v>
      </c>
      <c r="V106" s="62">
        <f t="shared" si="12"/>
        <v>0</v>
      </c>
      <c r="W106" s="62">
        <f t="shared" si="13"/>
        <v>0</v>
      </c>
    </row>
    <row r="107" spans="2:23">
      <c r="B107" s="133">
        <v>846</v>
      </c>
      <c r="C107" s="133">
        <v>85</v>
      </c>
      <c r="D107" s="134" t="s">
        <v>137</v>
      </c>
      <c r="E107" s="96"/>
      <c r="F107" s="97"/>
      <c r="G107" s="61">
        <f>HLOOKUP('2. Notes and Assumptions'!$C$16,$L$3:$O$162,ROWS($L$3:L107),FALSE)</f>
        <v>5</v>
      </c>
      <c r="H107" s="61">
        <f t="shared" si="9"/>
        <v>5</v>
      </c>
      <c r="I107" s="127">
        <v>3</v>
      </c>
      <c r="J107" s="127">
        <v>450000</v>
      </c>
      <c r="L107" s="127">
        <v>66</v>
      </c>
      <c r="M107" s="127">
        <v>32.169342240409513</v>
      </c>
      <c r="N107" s="127">
        <v>5</v>
      </c>
      <c r="O107" s="127">
        <v>5</v>
      </c>
      <c r="T107" s="62">
        <f t="shared" si="10"/>
        <v>0</v>
      </c>
      <c r="U107" s="62">
        <f t="shared" si="11"/>
        <v>0</v>
      </c>
      <c r="V107" s="62">
        <f t="shared" si="12"/>
        <v>0</v>
      </c>
      <c r="W107" s="62">
        <f t="shared" si="13"/>
        <v>0</v>
      </c>
    </row>
    <row r="108" spans="2:23">
      <c r="B108" s="133">
        <v>848</v>
      </c>
      <c r="C108" s="133">
        <v>85</v>
      </c>
      <c r="D108" s="134" t="s">
        <v>137</v>
      </c>
      <c r="E108" s="96"/>
      <c r="F108" s="97"/>
      <c r="G108" s="61">
        <f>HLOOKUP('2. Notes and Assumptions'!$C$16,$L$3:$O$162,ROWS($L$3:L108),FALSE)</f>
        <v>5</v>
      </c>
      <c r="H108" s="61">
        <f t="shared" si="9"/>
        <v>5</v>
      </c>
      <c r="I108" s="127">
        <v>4</v>
      </c>
      <c r="J108" s="127">
        <v>450000</v>
      </c>
      <c r="L108" s="127">
        <v>66</v>
      </c>
      <c r="M108" s="127">
        <v>32.169342240409513</v>
      </c>
      <c r="N108" s="127">
        <v>5</v>
      </c>
      <c r="O108" s="127">
        <v>5</v>
      </c>
      <c r="T108" s="62">
        <f t="shared" si="10"/>
        <v>450000</v>
      </c>
      <c r="U108" s="62">
        <f t="shared" si="11"/>
        <v>32.169342240409513</v>
      </c>
      <c r="V108" s="62">
        <f t="shared" si="12"/>
        <v>0</v>
      </c>
      <c r="W108" s="62">
        <f t="shared" si="13"/>
        <v>0</v>
      </c>
    </row>
    <row r="109" spans="2:23">
      <c r="B109" s="133">
        <v>850</v>
      </c>
      <c r="C109" s="133">
        <v>85</v>
      </c>
      <c r="D109" s="134" t="s">
        <v>137</v>
      </c>
      <c r="E109" s="96"/>
      <c r="F109" s="97"/>
      <c r="G109" s="61">
        <f>HLOOKUP('2. Notes and Assumptions'!$C$16,$L$3:$O$162,ROWS($L$3:L109),FALSE)</f>
        <v>5</v>
      </c>
      <c r="H109" s="61">
        <f t="shared" si="9"/>
        <v>5</v>
      </c>
      <c r="I109" s="127">
        <v>5</v>
      </c>
      <c r="J109" s="127">
        <v>450000</v>
      </c>
      <c r="L109" s="127">
        <v>66</v>
      </c>
      <c r="M109" s="127">
        <v>32.169342240409513</v>
      </c>
      <c r="N109" s="127">
        <v>5</v>
      </c>
      <c r="O109" s="127">
        <v>5</v>
      </c>
      <c r="T109" s="62">
        <f t="shared" si="10"/>
        <v>0</v>
      </c>
      <c r="U109" s="62">
        <f t="shared" si="11"/>
        <v>0</v>
      </c>
      <c r="V109" s="62">
        <f t="shared" si="12"/>
        <v>450000</v>
      </c>
      <c r="W109" s="62">
        <f t="shared" si="13"/>
        <v>32.169342240409513</v>
      </c>
    </row>
    <row r="110" spans="2:23">
      <c r="B110" s="133">
        <v>852</v>
      </c>
      <c r="C110" s="133">
        <v>86</v>
      </c>
      <c r="D110" s="134" t="s">
        <v>137</v>
      </c>
      <c r="E110" s="96"/>
      <c r="F110" s="97"/>
      <c r="G110" s="61">
        <f>HLOOKUP('2. Notes and Assumptions'!$C$16,$L$3:$O$162,ROWS($L$3:L110),FALSE)</f>
        <v>5</v>
      </c>
      <c r="H110" s="61">
        <f t="shared" si="9"/>
        <v>5</v>
      </c>
      <c r="I110" s="127">
        <v>1</v>
      </c>
      <c r="J110" s="127">
        <v>495012.7</v>
      </c>
      <c r="L110" s="127">
        <v>66</v>
      </c>
      <c r="M110" s="127">
        <v>32.169342240409513</v>
      </c>
      <c r="N110" s="127">
        <v>5</v>
      </c>
      <c r="O110" s="127">
        <v>5</v>
      </c>
      <c r="T110" s="62">
        <f t="shared" si="10"/>
        <v>0</v>
      </c>
      <c r="U110" s="62">
        <f t="shared" si="11"/>
        <v>0</v>
      </c>
      <c r="V110" s="62">
        <f t="shared" si="12"/>
        <v>0</v>
      </c>
      <c r="W110" s="62">
        <f t="shared" si="13"/>
        <v>0</v>
      </c>
    </row>
    <row r="111" spans="2:23">
      <c r="B111" s="133">
        <v>864</v>
      </c>
      <c r="C111" s="133">
        <v>87</v>
      </c>
      <c r="D111" s="134" t="s">
        <v>137</v>
      </c>
      <c r="E111" s="96"/>
      <c r="F111" s="97"/>
      <c r="G111" s="61">
        <f>HLOOKUP('2. Notes and Assumptions'!$C$16,$L$3:$O$162,ROWS($L$3:L111),FALSE)</f>
        <v>40</v>
      </c>
      <c r="H111" s="61">
        <f t="shared" si="9"/>
        <v>40</v>
      </c>
      <c r="I111" s="127">
        <v>2</v>
      </c>
      <c r="J111" s="127">
        <v>539000</v>
      </c>
      <c r="L111" s="127">
        <v>66</v>
      </c>
      <c r="M111" s="127">
        <v>32.169342240409513</v>
      </c>
      <c r="N111" s="127">
        <v>39.311186008879766</v>
      </c>
      <c r="O111" s="127">
        <v>40</v>
      </c>
      <c r="T111" s="62">
        <f t="shared" si="10"/>
        <v>0</v>
      </c>
      <c r="U111" s="62">
        <f t="shared" si="11"/>
        <v>0</v>
      </c>
      <c r="V111" s="62">
        <f t="shared" si="12"/>
        <v>0</v>
      </c>
      <c r="W111" s="62">
        <f t="shared" si="13"/>
        <v>0</v>
      </c>
    </row>
    <row r="112" spans="2:23">
      <c r="B112" s="133">
        <v>874</v>
      </c>
      <c r="C112" s="133">
        <v>88</v>
      </c>
      <c r="D112" s="134" t="s">
        <v>137</v>
      </c>
      <c r="E112" s="96"/>
      <c r="F112" s="97"/>
      <c r="G112" s="61">
        <f>HLOOKUP('2. Notes and Assumptions'!$C$16,$L$3:$O$162,ROWS($L$3:L112),FALSE)</f>
        <v>40</v>
      </c>
      <c r="H112" s="61">
        <f t="shared" si="9"/>
        <v>40</v>
      </c>
      <c r="I112" s="127">
        <v>2</v>
      </c>
      <c r="J112" s="127">
        <v>38133.32</v>
      </c>
      <c r="L112" s="127">
        <v>66</v>
      </c>
      <c r="M112" s="127">
        <v>32.169342240409513</v>
      </c>
      <c r="N112" s="127">
        <v>39.311186008879766</v>
      </c>
      <c r="O112" s="127">
        <v>40</v>
      </c>
      <c r="T112" s="62">
        <f t="shared" si="10"/>
        <v>0</v>
      </c>
      <c r="U112" s="62">
        <f t="shared" si="11"/>
        <v>0</v>
      </c>
      <c r="V112" s="62">
        <f t="shared" si="12"/>
        <v>0</v>
      </c>
      <c r="W112" s="62">
        <f t="shared" si="13"/>
        <v>0</v>
      </c>
    </row>
    <row r="113" spans="2:23">
      <c r="B113" s="133">
        <v>884</v>
      </c>
      <c r="C113" s="133">
        <v>89</v>
      </c>
      <c r="D113" s="134" t="s">
        <v>137</v>
      </c>
      <c r="E113" s="96"/>
      <c r="F113" s="97"/>
      <c r="G113" s="61">
        <f>HLOOKUP('2. Notes and Assumptions'!$C$16,$L$3:$O$162,ROWS($L$3:L113),FALSE)</f>
        <v>40</v>
      </c>
      <c r="H113" s="61">
        <f t="shared" si="9"/>
        <v>40</v>
      </c>
      <c r="I113" s="127">
        <v>2</v>
      </c>
      <c r="J113" s="127">
        <v>426976</v>
      </c>
      <c r="L113" s="127">
        <v>66</v>
      </c>
      <c r="M113" s="127">
        <v>32.169342240409513</v>
      </c>
      <c r="N113" s="127">
        <v>39.311186008879766</v>
      </c>
      <c r="O113" s="127">
        <v>40</v>
      </c>
      <c r="T113" s="62">
        <f t="shared" si="10"/>
        <v>0</v>
      </c>
      <c r="U113" s="62">
        <f t="shared" si="11"/>
        <v>0</v>
      </c>
      <c r="V113" s="62">
        <f t="shared" si="12"/>
        <v>0</v>
      </c>
      <c r="W113" s="62">
        <f t="shared" si="13"/>
        <v>0</v>
      </c>
    </row>
    <row r="114" spans="2:23">
      <c r="B114" s="133">
        <v>894</v>
      </c>
      <c r="C114" s="133">
        <v>90</v>
      </c>
      <c r="D114" s="134" t="s">
        <v>137</v>
      </c>
      <c r="E114" s="96"/>
      <c r="F114" s="97"/>
      <c r="G114" s="61">
        <f>HLOOKUP('2. Notes and Assumptions'!$C$16,$L$3:$O$162,ROWS($L$3:L114),FALSE)</f>
        <v>40</v>
      </c>
      <c r="H114" s="61">
        <f t="shared" si="9"/>
        <v>40</v>
      </c>
      <c r="I114" s="127">
        <v>2</v>
      </c>
      <c r="J114" s="127">
        <v>1263686</v>
      </c>
      <c r="L114" s="127">
        <v>66</v>
      </c>
      <c r="M114" s="127">
        <v>32.169342240409513</v>
      </c>
      <c r="N114" s="127">
        <v>39.311186008879766</v>
      </c>
      <c r="O114" s="127">
        <v>40</v>
      </c>
      <c r="T114" s="62">
        <f t="shared" si="10"/>
        <v>0</v>
      </c>
      <c r="U114" s="62">
        <f t="shared" si="11"/>
        <v>0</v>
      </c>
      <c r="V114" s="62">
        <f t="shared" si="12"/>
        <v>0</v>
      </c>
      <c r="W114" s="62">
        <f t="shared" si="13"/>
        <v>0</v>
      </c>
    </row>
    <row r="115" spans="2:23">
      <c r="B115" s="133">
        <v>904</v>
      </c>
      <c r="C115" s="133">
        <v>91</v>
      </c>
      <c r="D115" s="134" t="s">
        <v>137</v>
      </c>
      <c r="E115" s="96"/>
      <c r="F115" s="97"/>
      <c r="G115" s="61">
        <f>HLOOKUP('2. Notes and Assumptions'!$C$16,$L$3:$O$162,ROWS($L$3:L115),FALSE)</f>
        <v>40</v>
      </c>
      <c r="H115" s="61">
        <f t="shared" si="9"/>
        <v>40</v>
      </c>
      <c r="I115" s="127">
        <v>2</v>
      </c>
      <c r="J115" s="127">
        <v>519200</v>
      </c>
      <c r="L115" s="127">
        <v>66</v>
      </c>
      <c r="M115" s="127">
        <v>32.169342240409513</v>
      </c>
      <c r="N115" s="127">
        <v>39.311186008879766</v>
      </c>
      <c r="O115" s="127">
        <v>40</v>
      </c>
      <c r="T115" s="62">
        <f t="shared" si="10"/>
        <v>0</v>
      </c>
      <c r="U115" s="62">
        <f t="shared" si="11"/>
        <v>0</v>
      </c>
      <c r="V115" s="62">
        <f t="shared" si="12"/>
        <v>0</v>
      </c>
      <c r="W115" s="62">
        <f t="shared" si="13"/>
        <v>0</v>
      </c>
    </row>
    <row r="116" spans="2:23">
      <c r="B116" s="133">
        <v>914</v>
      </c>
      <c r="C116" s="133">
        <v>92</v>
      </c>
      <c r="D116" s="134" t="s">
        <v>137</v>
      </c>
      <c r="E116" s="96"/>
      <c r="F116" s="97"/>
      <c r="G116" s="61">
        <f>HLOOKUP('2. Notes and Assumptions'!$C$16,$L$3:$O$162,ROWS($L$3:L116),FALSE)</f>
        <v>40</v>
      </c>
      <c r="H116" s="61">
        <f t="shared" si="9"/>
        <v>40</v>
      </c>
      <c r="I116" s="127">
        <v>2</v>
      </c>
      <c r="J116" s="127">
        <v>324500</v>
      </c>
      <c r="L116" s="127">
        <v>66</v>
      </c>
      <c r="M116" s="127">
        <v>32.169342240409513</v>
      </c>
      <c r="N116" s="127">
        <v>39.311186008879766</v>
      </c>
      <c r="O116" s="127">
        <v>40</v>
      </c>
      <c r="T116" s="62">
        <f t="shared" si="10"/>
        <v>0</v>
      </c>
      <c r="U116" s="62">
        <f t="shared" si="11"/>
        <v>0</v>
      </c>
      <c r="V116" s="62">
        <f t="shared" si="12"/>
        <v>0</v>
      </c>
      <c r="W116" s="62">
        <f t="shared" si="13"/>
        <v>0</v>
      </c>
    </row>
    <row r="117" spans="2:23">
      <c r="B117" s="133">
        <v>922</v>
      </c>
      <c r="C117" s="133">
        <v>93</v>
      </c>
      <c r="D117" s="134" t="s">
        <v>137</v>
      </c>
      <c r="E117" s="96"/>
      <c r="F117" s="97"/>
      <c r="G117" s="61">
        <f>HLOOKUP('2. Notes and Assumptions'!$C$16,$L$3:$O$162,ROWS($L$3:L117),FALSE)</f>
        <v>80</v>
      </c>
      <c r="H117" s="61">
        <f t="shared" si="9"/>
        <v>80</v>
      </c>
      <c r="I117" s="127">
        <v>1</v>
      </c>
      <c r="J117" s="127">
        <v>62433.919999999984</v>
      </c>
      <c r="L117" s="127">
        <v>66</v>
      </c>
      <c r="M117" s="127">
        <v>32.169342240409513</v>
      </c>
      <c r="N117" s="127">
        <v>39.311186008879766</v>
      </c>
      <c r="O117" s="127">
        <v>80</v>
      </c>
      <c r="T117" s="62">
        <f t="shared" si="10"/>
        <v>0</v>
      </c>
      <c r="U117" s="62">
        <f t="shared" si="11"/>
        <v>0</v>
      </c>
      <c r="V117" s="62">
        <f t="shared" si="12"/>
        <v>0</v>
      </c>
      <c r="W117" s="62">
        <f t="shared" si="13"/>
        <v>0</v>
      </c>
    </row>
    <row r="118" spans="2:23">
      <c r="B118" s="133">
        <v>934</v>
      </c>
      <c r="C118" s="133">
        <v>94</v>
      </c>
      <c r="D118" s="134" t="s">
        <v>137</v>
      </c>
      <c r="E118" s="96"/>
      <c r="F118" s="97"/>
      <c r="G118" s="61">
        <f>HLOOKUP('2. Notes and Assumptions'!$C$16,$L$3:$O$162,ROWS($L$3:L118),FALSE)</f>
        <v>5</v>
      </c>
      <c r="H118" s="61">
        <f t="shared" si="9"/>
        <v>5</v>
      </c>
      <c r="I118" s="127">
        <v>2</v>
      </c>
      <c r="J118" s="127">
        <v>280000</v>
      </c>
      <c r="L118" s="127">
        <v>66</v>
      </c>
      <c r="M118" s="127">
        <v>32.169342240409513</v>
      </c>
      <c r="N118" s="127">
        <v>39.311186008879766</v>
      </c>
      <c r="O118" s="127">
        <v>5</v>
      </c>
      <c r="T118" s="62">
        <f t="shared" si="10"/>
        <v>0</v>
      </c>
      <c r="U118" s="62">
        <f t="shared" si="11"/>
        <v>0</v>
      </c>
      <c r="V118" s="62">
        <f t="shared" si="12"/>
        <v>0</v>
      </c>
      <c r="W118" s="62">
        <f t="shared" si="13"/>
        <v>0</v>
      </c>
    </row>
    <row r="119" spans="2:23">
      <c r="B119" s="133">
        <v>942</v>
      </c>
      <c r="C119" s="133">
        <v>95</v>
      </c>
      <c r="D119" s="134" t="s">
        <v>137</v>
      </c>
      <c r="E119" s="96"/>
      <c r="F119" s="97"/>
      <c r="G119" s="61">
        <f>HLOOKUP('2. Notes and Assumptions'!$C$16,$L$3:$O$162,ROWS($L$3:L119),FALSE)</f>
        <v>20</v>
      </c>
      <c r="H119" s="61">
        <f t="shared" si="9"/>
        <v>20</v>
      </c>
      <c r="I119" s="127">
        <v>1</v>
      </c>
      <c r="J119" s="127">
        <v>34721.22</v>
      </c>
      <c r="L119" s="127">
        <v>66</v>
      </c>
      <c r="M119" s="127">
        <v>32.169342240409513</v>
      </c>
      <c r="N119" s="127">
        <v>39.311186008879766</v>
      </c>
      <c r="O119" s="127">
        <v>20</v>
      </c>
      <c r="T119" s="62">
        <f t="shared" si="10"/>
        <v>0</v>
      </c>
      <c r="U119" s="62">
        <f t="shared" si="11"/>
        <v>0</v>
      </c>
      <c r="V119" s="62">
        <f t="shared" si="12"/>
        <v>0</v>
      </c>
      <c r="W119" s="62">
        <f t="shared" si="13"/>
        <v>0</v>
      </c>
    </row>
    <row r="120" spans="2:23">
      <c r="B120" s="133">
        <v>952</v>
      </c>
      <c r="C120" s="133">
        <v>96</v>
      </c>
      <c r="D120" s="134" t="s">
        <v>137</v>
      </c>
      <c r="E120" s="96"/>
      <c r="F120" s="97"/>
      <c r="G120" s="61">
        <f>HLOOKUP('2. Notes and Assumptions'!$C$16,$L$3:$O$162,ROWS($L$3:L120),FALSE)</f>
        <v>80</v>
      </c>
      <c r="H120" s="61">
        <f t="shared" si="9"/>
        <v>80</v>
      </c>
      <c r="I120" s="127">
        <v>1</v>
      </c>
      <c r="J120" s="127">
        <v>4935.79</v>
      </c>
      <c r="L120" s="127">
        <v>66</v>
      </c>
      <c r="M120" s="127">
        <v>32.169342240409513</v>
      </c>
      <c r="N120" s="127">
        <v>39.311186008879766</v>
      </c>
      <c r="O120" s="127">
        <v>80</v>
      </c>
      <c r="T120" s="62">
        <f t="shared" si="10"/>
        <v>0</v>
      </c>
      <c r="U120" s="62">
        <f t="shared" si="11"/>
        <v>0</v>
      </c>
      <c r="V120" s="62">
        <f t="shared" si="12"/>
        <v>0</v>
      </c>
      <c r="W120" s="62">
        <f t="shared" si="13"/>
        <v>0</v>
      </c>
    </row>
    <row r="121" spans="2:23">
      <c r="B121" s="133">
        <v>962</v>
      </c>
      <c r="C121" s="133">
        <v>97</v>
      </c>
      <c r="D121" s="134" t="s">
        <v>137</v>
      </c>
      <c r="E121" s="96"/>
      <c r="F121" s="97"/>
      <c r="G121" s="61">
        <f>HLOOKUP('2. Notes and Assumptions'!$C$16,$L$3:$O$162,ROWS($L$3:L121),FALSE)</f>
        <v>40</v>
      </c>
      <c r="H121" s="61">
        <f t="shared" si="9"/>
        <v>40</v>
      </c>
      <c r="I121" s="127">
        <v>1</v>
      </c>
      <c r="J121" s="127">
        <v>100924.19000000002</v>
      </c>
      <c r="L121" s="127">
        <v>66</v>
      </c>
      <c r="M121" s="127">
        <v>32.169342240409513</v>
      </c>
      <c r="N121" s="127">
        <v>39.311186008879766</v>
      </c>
      <c r="O121" s="127">
        <v>40</v>
      </c>
      <c r="T121" s="62">
        <f t="shared" si="10"/>
        <v>0</v>
      </c>
      <c r="U121" s="62">
        <f t="shared" si="11"/>
        <v>0</v>
      </c>
      <c r="V121" s="62">
        <f t="shared" si="12"/>
        <v>0</v>
      </c>
      <c r="W121" s="62">
        <f t="shared" si="13"/>
        <v>0</v>
      </c>
    </row>
    <row r="122" spans="2:23">
      <c r="B122" s="133">
        <v>972</v>
      </c>
      <c r="C122" s="133">
        <v>98</v>
      </c>
      <c r="D122" s="134" t="s">
        <v>137</v>
      </c>
      <c r="E122" s="96"/>
      <c r="F122" s="97"/>
      <c r="G122" s="61">
        <f>HLOOKUP('2. Notes and Assumptions'!$C$16,$L$3:$O$162,ROWS($L$3:L122),FALSE)</f>
        <v>60</v>
      </c>
      <c r="H122" s="61">
        <f t="shared" si="9"/>
        <v>60</v>
      </c>
      <c r="I122" s="127">
        <v>1</v>
      </c>
      <c r="J122" s="127">
        <v>8429.9</v>
      </c>
      <c r="L122" s="127">
        <v>66</v>
      </c>
      <c r="M122" s="127">
        <v>32.169342240409513</v>
      </c>
      <c r="N122" s="127">
        <v>39.311186008879766</v>
      </c>
      <c r="O122" s="127">
        <v>60</v>
      </c>
      <c r="T122" s="62">
        <f t="shared" si="10"/>
        <v>0</v>
      </c>
      <c r="U122" s="62">
        <f t="shared" si="11"/>
        <v>0</v>
      </c>
      <c r="V122" s="62">
        <f t="shared" si="12"/>
        <v>0</v>
      </c>
      <c r="W122" s="62">
        <f t="shared" si="13"/>
        <v>0</v>
      </c>
    </row>
    <row r="123" spans="2:23">
      <c r="B123" s="133">
        <v>982</v>
      </c>
      <c r="C123" s="133">
        <v>99</v>
      </c>
      <c r="D123" s="134" t="s">
        <v>137</v>
      </c>
      <c r="E123" s="96"/>
      <c r="F123" s="97"/>
      <c r="G123" s="61">
        <f>HLOOKUP('2. Notes and Assumptions'!$C$16,$L$3:$O$162,ROWS($L$3:L123),FALSE)</f>
        <v>60</v>
      </c>
      <c r="H123" s="61">
        <f t="shared" si="9"/>
        <v>60</v>
      </c>
      <c r="I123" s="127">
        <v>1</v>
      </c>
      <c r="J123" s="127">
        <v>35011.80000000001</v>
      </c>
      <c r="L123" s="127">
        <v>66</v>
      </c>
      <c r="M123" s="127">
        <v>32.169342240409513</v>
      </c>
      <c r="N123" s="127">
        <v>39.311186008879766</v>
      </c>
      <c r="O123" s="127">
        <v>60</v>
      </c>
      <c r="T123" s="62">
        <f t="shared" si="10"/>
        <v>0</v>
      </c>
      <c r="U123" s="62">
        <f t="shared" si="11"/>
        <v>0</v>
      </c>
      <c r="V123" s="62">
        <f t="shared" si="12"/>
        <v>0</v>
      </c>
      <c r="W123" s="62">
        <f t="shared" si="13"/>
        <v>0</v>
      </c>
    </row>
    <row r="124" spans="2:23">
      <c r="B124" s="133">
        <v>984</v>
      </c>
      <c r="C124" s="133">
        <v>99</v>
      </c>
      <c r="D124" s="134" t="s">
        <v>137</v>
      </c>
      <c r="E124" s="96"/>
      <c r="F124" s="97"/>
      <c r="G124" s="61">
        <f>HLOOKUP('2. Notes and Assumptions'!$C$16,$L$3:$O$162,ROWS($L$3:L124),FALSE)</f>
        <v>60</v>
      </c>
      <c r="H124" s="61">
        <f t="shared" si="9"/>
        <v>60</v>
      </c>
      <c r="I124" s="127">
        <v>2</v>
      </c>
      <c r="J124" s="127">
        <v>55000</v>
      </c>
      <c r="L124" s="127">
        <v>66</v>
      </c>
      <c r="M124" s="127">
        <v>32.169342240409513</v>
      </c>
      <c r="N124" s="127">
        <v>39.311186008879766</v>
      </c>
      <c r="O124" s="127">
        <v>60</v>
      </c>
      <c r="T124" s="62">
        <f t="shared" si="10"/>
        <v>0</v>
      </c>
      <c r="U124" s="62">
        <f t="shared" si="11"/>
        <v>0</v>
      </c>
      <c r="V124" s="62">
        <f t="shared" si="12"/>
        <v>0</v>
      </c>
      <c r="W124" s="62">
        <f t="shared" si="13"/>
        <v>0</v>
      </c>
    </row>
    <row r="125" spans="2:23">
      <c r="B125" s="133">
        <v>986</v>
      </c>
      <c r="C125" s="133">
        <v>99</v>
      </c>
      <c r="D125" s="134" t="s">
        <v>137</v>
      </c>
      <c r="E125" s="96"/>
      <c r="F125" s="97"/>
      <c r="G125" s="61">
        <f>HLOOKUP('2. Notes and Assumptions'!$C$16,$L$3:$O$162,ROWS($L$3:L125),FALSE)</f>
        <v>60</v>
      </c>
      <c r="H125" s="61">
        <f t="shared" si="9"/>
        <v>60</v>
      </c>
      <c r="I125" s="127">
        <v>3</v>
      </c>
      <c r="J125" s="127">
        <v>20000</v>
      </c>
      <c r="L125" s="127">
        <v>66</v>
      </c>
      <c r="M125" s="127">
        <v>32.169342240409513</v>
      </c>
      <c r="N125" s="127">
        <v>39.311186008879766</v>
      </c>
      <c r="O125" s="127">
        <v>60</v>
      </c>
      <c r="T125" s="62">
        <f t="shared" si="10"/>
        <v>0</v>
      </c>
      <c r="U125" s="62">
        <f t="shared" si="11"/>
        <v>0</v>
      </c>
      <c r="V125" s="62">
        <f t="shared" si="12"/>
        <v>0</v>
      </c>
      <c r="W125" s="62">
        <f t="shared" si="13"/>
        <v>0</v>
      </c>
    </row>
    <row r="126" spans="2:23">
      <c r="B126" s="133">
        <v>988</v>
      </c>
      <c r="C126" s="133">
        <v>99</v>
      </c>
      <c r="D126" s="134" t="s">
        <v>137</v>
      </c>
      <c r="E126" s="96"/>
      <c r="F126" s="97"/>
      <c r="G126" s="61">
        <f>HLOOKUP('2. Notes and Assumptions'!$C$16,$L$3:$O$162,ROWS($L$3:L126),FALSE)</f>
        <v>60</v>
      </c>
      <c r="H126" s="61">
        <f t="shared" si="9"/>
        <v>60</v>
      </c>
      <c r="I126" s="127">
        <v>4</v>
      </c>
      <c r="J126" s="127">
        <v>20000</v>
      </c>
      <c r="L126" s="127">
        <v>66</v>
      </c>
      <c r="M126" s="127">
        <v>32.169342240409513</v>
      </c>
      <c r="N126" s="127">
        <v>39.311186008879766</v>
      </c>
      <c r="O126" s="127">
        <v>60</v>
      </c>
      <c r="T126" s="62">
        <f t="shared" si="10"/>
        <v>20000</v>
      </c>
      <c r="U126" s="62">
        <f t="shared" si="11"/>
        <v>32.169342240409513</v>
      </c>
      <c r="V126" s="62">
        <f t="shared" si="12"/>
        <v>0</v>
      </c>
      <c r="W126" s="62">
        <f t="shared" si="13"/>
        <v>0</v>
      </c>
    </row>
    <row r="127" spans="2:23">
      <c r="B127" s="133">
        <v>990</v>
      </c>
      <c r="C127" s="133">
        <v>99</v>
      </c>
      <c r="D127" s="134" t="s">
        <v>137</v>
      </c>
      <c r="E127" s="96"/>
      <c r="F127" s="97"/>
      <c r="G127" s="61">
        <f>HLOOKUP('2. Notes and Assumptions'!$C$16,$L$3:$O$162,ROWS($L$3:L127),FALSE)</f>
        <v>60</v>
      </c>
      <c r="H127" s="61">
        <f t="shared" si="9"/>
        <v>60</v>
      </c>
      <c r="I127" s="127">
        <v>5</v>
      </c>
      <c r="J127" s="127">
        <v>20000</v>
      </c>
      <c r="L127" s="127">
        <v>66</v>
      </c>
      <c r="M127" s="127">
        <v>32.169342240409513</v>
      </c>
      <c r="N127" s="127">
        <v>39.311186008879766</v>
      </c>
      <c r="O127" s="127">
        <v>60</v>
      </c>
      <c r="T127" s="62">
        <f t="shared" si="10"/>
        <v>0</v>
      </c>
      <c r="U127" s="62">
        <f t="shared" si="11"/>
        <v>0</v>
      </c>
      <c r="V127" s="62">
        <f t="shared" si="12"/>
        <v>20000</v>
      </c>
      <c r="W127" s="62">
        <f t="shared" si="13"/>
        <v>32.169342240409513</v>
      </c>
    </row>
    <row r="128" spans="2:23">
      <c r="B128" s="133">
        <v>992</v>
      </c>
      <c r="C128" s="133">
        <v>100</v>
      </c>
      <c r="D128" s="134" t="s">
        <v>137</v>
      </c>
      <c r="E128" s="96"/>
      <c r="F128" s="97"/>
      <c r="G128" s="61">
        <f>HLOOKUP('2. Notes and Assumptions'!$C$16,$L$3:$O$162,ROWS($L$3:L128),FALSE)</f>
        <v>40</v>
      </c>
      <c r="H128" s="61">
        <f t="shared" si="9"/>
        <v>40</v>
      </c>
      <c r="I128" s="127">
        <v>1</v>
      </c>
      <c r="J128" s="127">
        <v>34427.669999999991</v>
      </c>
      <c r="L128" s="127">
        <v>66</v>
      </c>
      <c r="M128" s="127">
        <v>32.169342240409513</v>
      </c>
      <c r="N128" s="127">
        <v>39.311186008879766</v>
      </c>
      <c r="O128" s="127">
        <v>40</v>
      </c>
      <c r="T128" s="62">
        <f t="shared" si="10"/>
        <v>0</v>
      </c>
      <c r="U128" s="62">
        <f t="shared" si="11"/>
        <v>0</v>
      </c>
      <c r="V128" s="62">
        <f t="shared" si="12"/>
        <v>0</v>
      </c>
      <c r="W128" s="62">
        <f t="shared" si="13"/>
        <v>0</v>
      </c>
    </row>
    <row r="129" spans="2:23">
      <c r="B129" s="133">
        <v>1002</v>
      </c>
      <c r="C129" s="133">
        <v>101</v>
      </c>
      <c r="D129" s="134" t="s">
        <v>137</v>
      </c>
      <c r="E129" s="96"/>
      <c r="F129" s="97"/>
      <c r="G129" s="61">
        <f>HLOOKUP('2. Notes and Assumptions'!$C$16,$L$3:$O$162,ROWS($L$3:L129),FALSE)</f>
        <v>60</v>
      </c>
      <c r="H129" s="61">
        <f t="shared" si="9"/>
        <v>60</v>
      </c>
      <c r="I129" s="127">
        <v>1</v>
      </c>
      <c r="J129" s="127">
        <v>1142818.9100000001</v>
      </c>
      <c r="L129" s="127">
        <v>66</v>
      </c>
      <c r="M129" s="127">
        <v>32.169342240409513</v>
      </c>
      <c r="N129" s="127">
        <v>39.311186008879766</v>
      </c>
      <c r="O129" s="127">
        <v>60</v>
      </c>
      <c r="T129" s="62">
        <f t="shared" si="10"/>
        <v>0</v>
      </c>
      <c r="U129" s="62">
        <f t="shared" si="11"/>
        <v>0</v>
      </c>
      <c r="V129" s="62">
        <f t="shared" si="12"/>
        <v>0</v>
      </c>
      <c r="W129" s="62">
        <f t="shared" si="13"/>
        <v>0</v>
      </c>
    </row>
    <row r="130" spans="2:23">
      <c r="B130" s="133">
        <v>1004</v>
      </c>
      <c r="C130" s="133">
        <v>101</v>
      </c>
      <c r="D130" s="134" t="s">
        <v>137</v>
      </c>
      <c r="E130" s="96"/>
      <c r="F130" s="97"/>
      <c r="G130" s="61">
        <f>HLOOKUP('2. Notes and Assumptions'!$C$16,$L$3:$O$162,ROWS($L$3:L130),FALSE)</f>
        <v>60</v>
      </c>
      <c r="H130" s="61">
        <f t="shared" si="9"/>
        <v>60</v>
      </c>
      <c r="I130" s="127">
        <v>2</v>
      </c>
      <c r="J130" s="127">
        <v>20457</v>
      </c>
      <c r="L130" s="127">
        <v>66</v>
      </c>
      <c r="M130" s="127">
        <v>32.169342240409513</v>
      </c>
      <c r="N130" s="127">
        <v>39.311186008879766</v>
      </c>
      <c r="O130" s="127">
        <v>60</v>
      </c>
      <c r="T130" s="62">
        <f t="shared" si="10"/>
        <v>0</v>
      </c>
      <c r="U130" s="62">
        <f t="shared" si="11"/>
        <v>0</v>
      </c>
      <c r="V130" s="62">
        <f t="shared" si="12"/>
        <v>0</v>
      </c>
      <c r="W130" s="62">
        <f t="shared" si="13"/>
        <v>0</v>
      </c>
    </row>
    <row r="131" spans="2:23">
      <c r="B131" s="133">
        <v>1012</v>
      </c>
      <c r="C131" s="133">
        <v>102</v>
      </c>
      <c r="D131" s="134" t="s">
        <v>137</v>
      </c>
      <c r="E131" s="96"/>
      <c r="F131" s="97"/>
      <c r="G131" s="61">
        <f>HLOOKUP('2. Notes and Assumptions'!$C$16,$L$3:$O$162,ROWS($L$3:L131),FALSE)</f>
        <v>20</v>
      </c>
      <c r="H131" s="61">
        <f t="shared" si="9"/>
        <v>20</v>
      </c>
      <c r="I131" s="127">
        <v>1</v>
      </c>
      <c r="J131" s="127">
        <v>119630.24</v>
      </c>
      <c r="L131" s="127">
        <v>66</v>
      </c>
      <c r="M131" s="127">
        <v>32.169342240409513</v>
      </c>
      <c r="N131" s="127">
        <v>39.311186008879766</v>
      </c>
      <c r="O131" s="127">
        <v>20</v>
      </c>
      <c r="T131" s="62">
        <f t="shared" si="10"/>
        <v>0</v>
      </c>
      <c r="U131" s="62">
        <f t="shared" si="11"/>
        <v>0</v>
      </c>
      <c r="V131" s="62">
        <f t="shared" si="12"/>
        <v>0</v>
      </c>
      <c r="W131" s="62">
        <f t="shared" si="13"/>
        <v>0</v>
      </c>
    </row>
    <row r="132" spans="2:23">
      <c r="B132" s="133">
        <v>1014</v>
      </c>
      <c r="C132" s="133">
        <v>102</v>
      </c>
      <c r="D132" s="134" t="s">
        <v>137</v>
      </c>
      <c r="E132" s="96"/>
      <c r="F132" s="97"/>
      <c r="G132" s="61">
        <f>HLOOKUP('2. Notes and Assumptions'!$C$16,$L$3:$O$162,ROWS($L$3:L132),FALSE)</f>
        <v>20</v>
      </c>
      <c r="H132" s="61">
        <f t="shared" si="9"/>
        <v>20</v>
      </c>
      <c r="I132" s="127">
        <v>2</v>
      </c>
      <c r="J132" s="127">
        <v>39866</v>
      </c>
      <c r="L132" s="127">
        <v>66</v>
      </c>
      <c r="M132" s="127">
        <v>32.169342240409513</v>
      </c>
      <c r="N132" s="127">
        <v>39.311186008879766</v>
      </c>
      <c r="O132" s="127">
        <v>20</v>
      </c>
      <c r="T132" s="62">
        <f t="shared" si="10"/>
        <v>0</v>
      </c>
      <c r="U132" s="62">
        <f t="shared" si="11"/>
        <v>0</v>
      </c>
      <c r="V132" s="62">
        <f t="shared" si="12"/>
        <v>0</v>
      </c>
      <c r="W132" s="62">
        <f t="shared" si="13"/>
        <v>0</v>
      </c>
    </row>
    <row r="133" spans="2:23">
      <c r="B133" s="133">
        <v>1024</v>
      </c>
      <c r="C133" s="133">
        <v>103</v>
      </c>
      <c r="D133" s="134" t="s">
        <v>137</v>
      </c>
      <c r="E133" s="96"/>
      <c r="F133" s="97"/>
      <c r="G133" s="61">
        <f>HLOOKUP('2. Notes and Assumptions'!$C$16,$L$3:$O$162,ROWS($L$3:L133),FALSE)</f>
        <v>0</v>
      </c>
      <c r="H133" s="61">
        <f t="shared" ref="H133:H150" si="14">G133</f>
        <v>0</v>
      </c>
      <c r="I133" s="127">
        <v>2</v>
      </c>
      <c r="J133" s="127">
        <v>1040937</v>
      </c>
      <c r="L133" s="127">
        <v>66</v>
      </c>
      <c r="M133" s="127">
        <v>32.169342240409513</v>
      </c>
      <c r="N133" s="127">
        <v>39.311186008879766</v>
      </c>
      <c r="O133" s="127">
        <v>0</v>
      </c>
      <c r="T133" s="62">
        <f t="shared" si="10"/>
        <v>0</v>
      </c>
      <c r="U133" s="62">
        <f t="shared" si="11"/>
        <v>0</v>
      </c>
      <c r="V133" s="62">
        <f t="shared" si="12"/>
        <v>0</v>
      </c>
      <c r="W133" s="62">
        <f t="shared" si="13"/>
        <v>0</v>
      </c>
    </row>
    <row r="134" spans="2:23">
      <c r="B134" s="133">
        <v>1032</v>
      </c>
      <c r="C134" s="133">
        <v>104</v>
      </c>
      <c r="D134" s="134" t="s">
        <v>137</v>
      </c>
      <c r="E134" s="96"/>
      <c r="F134" s="97"/>
      <c r="G134" s="61">
        <f>HLOOKUP('2. Notes and Assumptions'!$C$16,$L$3:$O$162,ROWS($L$3:L134),FALSE)</f>
        <v>20</v>
      </c>
      <c r="H134" s="61">
        <f t="shared" si="14"/>
        <v>20</v>
      </c>
      <c r="I134" s="127">
        <v>1</v>
      </c>
      <c r="J134" s="127">
        <v>123723.69</v>
      </c>
      <c r="L134" s="127">
        <v>66</v>
      </c>
      <c r="M134" s="127">
        <v>32.169342240409513</v>
      </c>
      <c r="N134" s="127">
        <v>39.311186008879766</v>
      </c>
      <c r="O134" s="127">
        <v>20</v>
      </c>
      <c r="T134" s="62">
        <f t="shared" si="10"/>
        <v>0</v>
      </c>
      <c r="U134" s="62">
        <f t="shared" si="11"/>
        <v>0</v>
      </c>
      <c r="V134" s="62">
        <f t="shared" si="12"/>
        <v>0</v>
      </c>
      <c r="W134" s="62">
        <f t="shared" si="13"/>
        <v>0</v>
      </c>
    </row>
    <row r="135" spans="2:23">
      <c r="B135" s="133">
        <v>1034</v>
      </c>
      <c r="C135" s="133">
        <v>104</v>
      </c>
      <c r="D135" s="134" t="s">
        <v>137</v>
      </c>
      <c r="E135" s="96"/>
      <c r="F135" s="97"/>
      <c r="G135" s="61">
        <f>HLOOKUP('2. Notes and Assumptions'!$C$16,$L$3:$O$162,ROWS($L$3:L135),FALSE)</f>
        <v>20</v>
      </c>
      <c r="H135" s="61">
        <f t="shared" si="14"/>
        <v>20</v>
      </c>
      <c r="I135" s="127">
        <v>2</v>
      </c>
      <c r="J135" s="127">
        <v>944612.34</v>
      </c>
      <c r="L135" s="127">
        <v>66</v>
      </c>
      <c r="M135" s="127">
        <v>32.169342240409513</v>
      </c>
      <c r="N135" s="127">
        <v>39.311186008879766</v>
      </c>
      <c r="O135" s="127">
        <v>20</v>
      </c>
      <c r="T135" s="62">
        <f t="shared" si="10"/>
        <v>0</v>
      </c>
      <c r="U135" s="62">
        <f t="shared" si="11"/>
        <v>0</v>
      </c>
      <c r="V135" s="62">
        <f t="shared" si="12"/>
        <v>0</v>
      </c>
      <c r="W135" s="62">
        <f t="shared" si="13"/>
        <v>0</v>
      </c>
    </row>
    <row r="136" spans="2:23">
      <c r="B136" s="133">
        <v>1036</v>
      </c>
      <c r="C136" s="133">
        <v>104</v>
      </c>
      <c r="D136" s="134" t="s">
        <v>137</v>
      </c>
      <c r="E136" s="96"/>
      <c r="F136" s="97"/>
      <c r="G136" s="61">
        <f>HLOOKUP('2. Notes and Assumptions'!$C$16,$L$3:$O$162,ROWS($L$3:L136),FALSE)</f>
        <v>20</v>
      </c>
      <c r="H136" s="61">
        <f t="shared" si="14"/>
        <v>20</v>
      </c>
      <c r="I136" s="127">
        <v>3</v>
      </c>
      <c r="J136" s="127">
        <v>37695</v>
      </c>
      <c r="L136" s="127">
        <v>66</v>
      </c>
      <c r="M136" s="127">
        <v>32.169342240409513</v>
      </c>
      <c r="N136" s="127">
        <v>39.311186008879766</v>
      </c>
      <c r="O136" s="127">
        <v>20</v>
      </c>
      <c r="T136" s="62">
        <f t="shared" ref="T136:T148" si="15">IF($I136=4,J136,0)</f>
        <v>0</v>
      </c>
      <c r="U136" s="62">
        <f t="shared" ref="U136:U148" si="16">IF($I136=4,M136,0)</f>
        <v>0</v>
      </c>
      <c r="V136" s="62">
        <f t="shared" ref="V136:V148" si="17">IF($I136=5,J136,0)</f>
        <v>0</v>
      </c>
      <c r="W136" s="62">
        <f t="shared" ref="W136:W148" si="18">IF($I136=5,M136,0)</f>
        <v>0</v>
      </c>
    </row>
    <row r="137" spans="2:23">
      <c r="B137" s="133">
        <v>1042</v>
      </c>
      <c r="C137" s="133">
        <v>105</v>
      </c>
      <c r="D137" s="134" t="s">
        <v>137</v>
      </c>
      <c r="E137" s="96"/>
      <c r="F137" s="97"/>
      <c r="G137" s="61">
        <f>HLOOKUP('2. Notes and Assumptions'!$C$16,$L$3:$O$162,ROWS($L$3:L137),FALSE)</f>
        <v>80</v>
      </c>
      <c r="H137" s="61">
        <f t="shared" si="14"/>
        <v>80</v>
      </c>
      <c r="I137" s="127">
        <v>1</v>
      </c>
      <c r="J137" s="127">
        <v>40482.17</v>
      </c>
      <c r="L137" s="127">
        <v>66</v>
      </c>
      <c r="M137" s="127">
        <v>32.169342240409513</v>
      </c>
      <c r="N137" s="127">
        <v>39.311186008879766</v>
      </c>
      <c r="O137" s="127">
        <v>80</v>
      </c>
      <c r="T137" s="62">
        <f t="shared" si="15"/>
        <v>0</v>
      </c>
      <c r="U137" s="62">
        <f t="shared" si="16"/>
        <v>0</v>
      </c>
      <c r="V137" s="62">
        <f t="shared" si="17"/>
        <v>0</v>
      </c>
      <c r="W137" s="62">
        <f t="shared" si="18"/>
        <v>0</v>
      </c>
    </row>
    <row r="138" spans="2:23">
      <c r="B138" s="133">
        <v>1052</v>
      </c>
      <c r="C138" s="133">
        <v>106</v>
      </c>
      <c r="D138" s="134" t="s">
        <v>137</v>
      </c>
      <c r="E138" s="96"/>
      <c r="F138" s="97"/>
      <c r="G138" s="61">
        <f>HLOOKUP('2. Notes and Assumptions'!$C$16,$L$3:$O$162,ROWS($L$3:L138),FALSE)</f>
        <v>20</v>
      </c>
      <c r="H138" s="61">
        <f t="shared" si="14"/>
        <v>20</v>
      </c>
      <c r="I138" s="127">
        <v>1</v>
      </c>
      <c r="J138" s="127">
        <v>102915.89</v>
      </c>
      <c r="L138" s="127">
        <v>66</v>
      </c>
      <c r="M138" s="127">
        <v>32.169342240409513</v>
      </c>
      <c r="N138" s="127">
        <v>39.311186008879766</v>
      </c>
      <c r="O138" s="127">
        <v>20</v>
      </c>
      <c r="T138" s="62">
        <f t="shared" si="15"/>
        <v>0</v>
      </c>
      <c r="U138" s="62">
        <f t="shared" si="16"/>
        <v>0</v>
      </c>
      <c r="V138" s="62">
        <f t="shared" si="17"/>
        <v>0</v>
      </c>
      <c r="W138" s="62">
        <f t="shared" si="18"/>
        <v>0</v>
      </c>
    </row>
    <row r="139" spans="2:23">
      <c r="B139" s="133">
        <v>1062</v>
      </c>
      <c r="C139" s="133">
        <v>107</v>
      </c>
      <c r="D139" s="134" t="s">
        <v>137</v>
      </c>
      <c r="E139" s="96"/>
      <c r="F139" s="97"/>
      <c r="G139" s="61">
        <f>HLOOKUP('2. Notes and Assumptions'!$C$16,$L$3:$O$162,ROWS($L$3:L139),FALSE)</f>
        <v>60</v>
      </c>
      <c r="H139" s="61">
        <f t="shared" si="14"/>
        <v>60</v>
      </c>
      <c r="I139" s="127">
        <v>1</v>
      </c>
      <c r="J139" s="127">
        <v>802585.97999999952</v>
      </c>
      <c r="L139" s="127">
        <v>66</v>
      </c>
      <c r="M139" s="127">
        <v>32.169342240409513</v>
      </c>
      <c r="N139" s="127">
        <v>39.311186008879766</v>
      </c>
      <c r="O139" s="127">
        <v>60</v>
      </c>
      <c r="T139" s="62">
        <f t="shared" si="15"/>
        <v>0</v>
      </c>
      <c r="U139" s="62">
        <f t="shared" si="16"/>
        <v>0</v>
      </c>
      <c r="V139" s="62">
        <f t="shared" si="17"/>
        <v>0</v>
      </c>
      <c r="W139" s="62">
        <f t="shared" si="18"/>
        <v>0</v>
      </c>
    </row>
    <row r="140" spans="2:23">
      <c r="B140" s="133">
        <v>1064</v>
      </c>
      <c r="C140" s="133">
        <v>107</v>
      </c>
      <c r="D140" s="134" t="s">
        <v>137</v>
      </c>
      <c r="E140" s="96"/>
      <c r="F140" s="97"/>
      <c r="G140" s="61">
        <f>HLOOKUP('2. Notes and Assumptions'!$C$16,$L$3:$O$162,ROWS($L$3:L140),FALSE)</f>
        <v>60</v>
      </c>
      <c r="H140" s="61">
        <f t="shared" si="14"/>
        <v>60</v>
      </c>
      <c r="I140" s="127">
        <v>2</v>
      </c>
      <c r="J140" s="127">
        <v>1206590.6599999999</v>
      </c>
      <c r="L140" s="127">
        <v>66</v>
      </c>
      <c r="M140" s="127">
        <v>32.169342240409513</v>
      </c>
      <c r="N140" s="127">
        <v>39.311186008879766</v>
      </c>
      <c r="O140" s="127">
        <v>60</v>
      </c>
      <c r="T140" s="62">
        <f t="shared" si="15"/>
        <v>0</v>
      </c>
      <c r="U140" s="62">
        <f t="shared" si="16"/>
        <v>0</v>
      </c>
      <c r="V140" s="62">
        <f t="shared" si="17"/>
        <v>0</v>
      </c>
      <c r="W140" s="62">
        <f t="shared" si="18"/>
        <v>0</v>
      </c>
    </row>
    <row r="141" spans="2:23">
      <c r="B141" s="133">
        <v>1066</v>
      </c>
      <c r="C141" s="133">
        <v>107</v>
      </c>
      <c r="D141" s="134" t="s">
        <v>137</v>
      </c>
      <c r="E141" s="96"/>
      <c r="F141" s="97"/>
      <c r="G141" s="61">
        <f>HLOOKUP('2. Notes and Assumptions'!$C$16,$L$3:$O$162,ROWS($L$3:L141),FALSE)</f>
        <v>60</v>
      </c>
      <c r="H141" s="61">
        <f t="shared" si="14"/>
        <v>60</v>
      </c>
      <c r="I141" s="127">
        <v>3</v>
      </c>
      <c r="J141" s="127">
        <v>617914</v>
      </c>
      <c r="L141" s="127">
        <v>66</v>
      </c>
      <c r="M141" s="127">
        <v>32.169342240409513</v>
      </c>
      <c r="N141" s="127">
        <v>39.311186008879766</v>
      </c>
      <c r="O141" s="127">
        <v>60</v>
      </c>
      <c r="T141" s="62">
        <f t="shared" si="15"/>
        <v>0</v>
      </c>
      <c r="U141" s="62">
        <f t="shared" si="16"/>
        <v>0</v>
      </c>
      <c r="V141" s="62">
        <f t="shared" si="17"/>
        <v>0</v>
      </c>
      <c r="W141" s="62">
        <f t="shared" si="18"/>
        <v>0</v>
      </c>
    </row>
    <row r="142" spans="2:23">
      <c r="B142" s="133">
        <v>1072</v>
      </c>
      <c r="C142" s="133">
        <v>108</v>
      </c>
      <c r="D142" s="134" t="s">
        <v>137</v>
      </c>
      <c r="E142" s="96"/>
      <c r="F142" s="97"/>
      <c r="G142" s="61">
        <f>HLOOKUP('2. Notes and Assumptions'!$C$16,$L$3:$O$162,ROWS($L$3:L142),FALSE)</f>
        <v>60</v>
      </c>
      <c r="H142" s="61">
        <f t="shared" si="14"/>
        <v>60</v>
      </c>
      <c r="I142" s="127">
        <v>1</v>
      </c>
      <c r="J142" s="127">
        <v>10505.66</v>
      </c>
      <c r="L142" s="127">
        <v>66</v>
      </c>
      <c r="M142" s="127">
        <v>32.169342240409513</v>
      </c>
      <c r="N142" s="127">
        <v>39.311186008879766</v>
      </c>
      <c r="O142" s="127">
        <v>60</v>
      </c>
      <c r="T142" s="62">
        <f t="shared" si="15"/>
        <v>0</v>
      </c>
      <c r="U142" s="62">
        <f t="shared" si="16"/>
        <v>0</v>
      </c>
      <c r="V142" s="62">
        <f t="shared" si="17"/>
        <v>0</v>
      </c>
      <c r="W142" s="62">
        <f t="shared" si="18"/>
        <v>0</v>
      </c>
    </row>
    <row r="143" spans="2:23">
      <c r="B143" s="133">
        <v>1074</v>
      </c>
      <c r="C143" s="133">
        <v>108</v>
      </c>
      <c r="D143" s="134" t="s">
        <v>137</v>
      </c>
      <c r="E143" s="96"/>
      <c r="F143" s="97"/>
      <c r="G143" s="61">
        <f>HLOOKUP('2. Notes and Assumptions'!$C$16,$L$3:$O$162,ROWS($L$3:L143),FALSE)</f>
        <v>60</v>
      </c>
      <c r="H143" s="61">
        <f t="shared" si="14"/>
        <v>60</v>
      </c>
      <c r="I143" s="127">
        <v>2</v>
      </c>
      <c r="J143" s="127">
        <v>225421</v>
      </c>
      <c r="L143" s="127">
        <v>66</v>
      </c>
      <c r="M143" s="127">
        <v>32.169342240409513</v>
      </c>
      <c r="N143" s="127">
        <v>39.311186008879766</v>
      </c>
      <c r="O143" s="127">
        <v>60</v>
      </c>
      <c r="T143" s="62">
        <f t="shared" si="15"/>
        <v>0</v>
      </c>
      <c r="U143" s="62">
        <f t="shared" si="16"/>
        <v>0</v>
      </c>
      <c r="V143" s="62">
        <f t="shared" si="17"/>
        <v>0</v>
      </c>
      <c r="W143" s="62">
        <f t="shared" si="18"/>
        <v>0</v>
      </c>
    </row>
    <row r="144" spans="2:23">
      <c r="B144" s="133">
        <v>1084</v>
      </c>
      <c r="C144" s="133">
        <v>109</v>
      </c>
      <c r="D144" s="134" t="s">
        <v>137</v>
      </c>
      <c r="E144" s="96"/>
      <c r="F144" s="97"/>
      <c r="G144" s="61">
        <f>HLOOKUP('2. Notes and Assumptions'!$C$16,$L$3:$O$162,ROWS($L$3:L144),FALSE)</f>
        <v>80</v>
      </c>
      <c r="H144" s="61">
        <f t="shared" si="14"/>
        <v>80</v>
      </c>
      <c r="I144" s="127">
        <v>2</v>
      </c>
      <c r="J144" s="127">
        <v>567274.11</v>
      </c>
      <c r="L144" s="127">
        <v>66</v>
      </c>
      <c r="M144" s="127">
        <v>32.169342240409513</v>
      </c>
      <c r="N144" s="127">
        <v>80</v>
      </c>
      <c r="O144" s="127">
        <v>80</v>
      </c>
      <c r="T144" s="62">
        <f t="shared" si="15"/>
        <v>0</v>
      </c>
      <c r="U144" s="62">
        <f t="shared" si="16"/>
        <v>0</v>
      </c>
      <c r="V144" s="62">
        <f t="shared" si="17"/>
        <v>0</v>
      </c>
      <c r="W144" s="62">
        <f t="shared" si="18"/>
        <v>0</v>
      </c>
    </row>
    <row r="145" spans="2:23">
      <c r="B145" s="133">
        <v>1086</v>
      </c>
      <c r="C145" s="133">
        <v>109</v>
      </c>
      <c r="D145" s="134" t="s">
        <v>137</v>
      </c>
      <c r="E145" s="96"/>
      <c r="F145" s="97"/>
      <c r="G145" s="61">
        <f>HLOOKUP('2. Notes and Assumptions'!$C$16,$L$3:$O$162,ROWS($L$3:L145),FALSE)</f>
        <v>80</v>
      </c>
      <c r="H145" s="61">
        <f t="shared" si="14"/>
        <v>80</v>
      </c>
      <c r="I145" s="127">
        <v>3</v>
      </c>
      <c r="J145" s="127">
        <v>5315835</v>
      </c>
      <c r="L145" s="127">
        <v>66</v>
      </c>
      <c r="M145" s="127">
        <v>32.169342240409513</v>
      </c>
      <c r="N145" s="127">
        <v>80</v>
      </c>
      <c r="O145" s="127">
        <v>80</v>
      </c>
      <c r="T145" s="62">
        <f t="shared" si="15"/>
        <v>0</v>
      </c>
      <c r="U145" s="62">
        <f t="shared" si="16"/>
        <v>0</v>
      </c>
      <c r="V145" s="62">
        <f t="shared" si="17"/>
        <v>0</v>
      </c>
      <c r="W145" s="62">
        <f t="shared" si="18"/>
        <v>0</v>
      </c>
    </row>
    <row r="146" spans="2:23">
      <c r="B146" s="133">
        <v>1088</v>
      </c>
      <c r="C146" s="133">
        <v>109</v>
      </c>
      <c r="D146" s="134" t="s">
        <v>137</v>
      </c>
      <c r="E146" s="96"/>
      <c r="F146" s="97"/>
      <c r="G146" s="61">
        <f>HLOOKUP('2. Notes and Assumptions'!$C$16,$L$3:$O$162,ROWS($L$3:L146),FALSE)</f>
        <v>80</v>
      </c>
      <c r="H146" s="61">
        <f t="shared" si="14"/>
        <v>80</v>
      </c>
      <c r="I146" s="127">
        <v>4</v>
      </c>
      <c r="J146" s="127">
        <v>12805725</v>
      </c>
      <c r="L146" s="127">
        <v>66</v>
      </c>
      <c r="M146" s="127">
        <v>32.169342240409513</v>
      </c>
      <c r="N146" s="127">
        <v>80</v>
      </c>
      <c r="O146" s="127">
        <v>80</v>
      </c>
      <c r="T146" s="62">
        <f t="shared" si="15"/>
        <v>12805725</v>
      </c>
      <c r="U146" s="62">
        <f t="shared" si="16"/>
        <v>32.169342240409513</v>
      </c>
      <c r="V146" s="62">
        <f t="shared" si="17"/>
        <v>0</v>
      </c>
      <c r="W146" s="62">
        <f t="shared" si="18"/>
        <v>0</v>
      </c>
    </row>
    <row r="147" spans="2:23" ht="15.75">
      <c r="B147" s="133">
        <v>1374</v>
      </c>
      <c r="C147" s="133">
        <v>138</v>
      </c>
      <c r="D147" s="134" t="s">
        <v>137</v>
      </c>
      <c r="E147" s="96"/>
      <c r="F147" s="97"/>
      <c r="G147" s="61">
        <f>HLOOKUP('2. Notes and Assumptions'!$C$16,$L$3:$O$162,ROWS($L$3:L147),FALSE)</f>
        <v>10</v>
      </c>
      <c r="H147" s="61">
        <f t="shared" si="14"/>
        <v>10</v>
      </c>
      <c r="I147" s="127">
        <v>2</v>
      </c>
      <c r="J147" s="127">
        <v>67500</v>
      </c>
      <c r="L147" s="127">
        <v>66</v>
      </c>
      <c r="M147" s="127">
        <v>32.169342240409499</v>
      </c>
      <c r="N147" s="127">
        <v>15</v>
      </c>
      <c r="O147" s="127">
        <v>10</v>
      </c>
      <c r="Q147" s="57" t="s">
        <v>131</v>
      </c>
      <c r="R147" s="57" t="s">
        <v>131</v>
      </c>
      <c r="T147" s="62">
        <f t="shared" si="15"/>
        <v>0</v>
      </c>
      <c r="U147" s="62">
        <f t="shared" si="16"/>
        <v>0</v>
      </c>
      <c r="V147" s="62">
        <f t="shared" si="17"/>
        <v>0</v>
      </c>
      <c r="W147" s="62">
        <f t="shared" si="18"/>
        <v>0</v>
      </c>
    </row>
    <row r="148" spans="2:23">
      <c r="B148" s="133">
        <v>1384</v>
      </c>
      <c r="C148" s="133">
        <v>139</v>
      </c>
      <c r="D148" s="134" t="s">
        <v>137</v>
      </c>
      <c r="E148" s="96"/>
      <c r="F148" s="97"/>
      <c r="G148" s="61">
        <f>HLOOKUP('2. Notes and Assumptions'!$C$16,$L$3:$O$162,ROWS($L$3:L148),FALSE)</f>
        <v>40</v>
      </c>
      <c r="H148" s="61">
        <f t="shared" si="14"/>
        <v>40</v>
      </c>
      <c r="I148" s="127">
        <v>2</v>
      </c>
      <c r="J148" s="127">
        <v>758332.5</v>
      </c>
      <c r="L148" s="127">
        <v>66</v>
      </c>
      <c r="M148" s="127">
        <v>32.169342240409499</v>
      </c>
      <c r="N148" s="127">
        <v>30</v>
      </c>
      <c r="O148" s="127">
        <v>40</v>
      </c>
      <c r="Q148" s="2" t="s">
        <v>459</v>
      </c>
      <c r="R148" s="2" t="s">
        <v>383</v>
      </c>
      <c r="T148" s="62">
        <f t="shared" si="15"/>
        <v>0</v>
      </c>
      <c r="U148" s="62">
        <f t="shared" si="16"/>
        <v>0</v>
      </c>
      <c r="V148" s="62">
        <f t="shared" si="17"/>
        <v>0</v>
      </c>
      <c r="W148" s="62">
        <f t="shared" si="18"/>
        <v>0</v>
      </c>
    </row>
    <row r="149" spans="2:23">
      <c r="B149" s="133"/>
      <c r="C149" s="133">
        <v>140</v>
      </c>
      <c r="D149" s="134" t="s">
        <v>137</v>
      </c>
      <c r="E149" s="134"/>
      <c r="F149" s="129" t="s">
        <v>380</v>
      </c>
      <c r="G149" s="61">
        <f>HLOOKUP('2. Notes and Assumptions'!$C$16,$L$3:$O$186,ROWS($L$3:L149),FALSE)</f>
        <v>32.16934224040952</v>
      </c>
      <c r="H149" s="61">
        <f t="shared" si="14"/>
        <v>32.16934224040952</v>
      </c>
      <c r="I149" s="129">
        <v>4</v>
      </c>
      <c r="J149" s="61">
        <f>HLOOKUP('2. Notes and Assumptions'!$C$18,$Q$148:$R$150,ROWS($Q$148:Q149),FALSE)</f>
        <v>-7919158.6945932349</v>
      </c>
      <c r="L149" s="127">
        <v>66</v>
      </c>
      <c r="M149" s="127">
        <v>34.086098305848942</v>
      </c>
      <c r="N149" s="61">
        <f>O149</f>
        <v>32.16934224040952</v>
      </c>
      <c r="O149" s="61">
        <f>'4. Cardno Capex Reduction'!E5</f>
        <v>32.16934224040952</v>
      </c>
      <c r="Q149" s="127">
        <v>0</v>
      </c>
      <c r="R149" s="30">
        <f>'4. Cardno Capex Reduction'!D5</f>
        <v>-7919158.6945932349</v>
      </c>
    </row>
    <row r="150" spans="2:23">
      <c r="B150" s="133"/>
      <c r="C150" s="133">
        <v>141</v>
      </c>
      <c r="D150" s="134" t="s">
        <v>137</v>
      </c>
      <c r="E150" s="134"/>
      <c r="F150" s="129" t="s">
        <v>381</v>
      </c>
      <c r="G150" s="61">
        <f>HLOOKUP('2. Notes and Assumptions'!$C$16,$L$3:$O$186,ROWS($L$3:L150),FALSE)</f>
        <v>32.169342240409513</v>
      </c>
      <c r="H150" s="61">
        <f t="shared" si="14"/>
        <v>32.169342240409513</v>
      </c>
      <c r="I150" s="129">
        <v>5</v>
      </c>
      <c r="J150" s="61">
        <f>HLOOKUP('2. Notes and Assumptions'!$C$18,$Q$148:$R$150,ROWS($Q$148:Q150),FALSE)</f>
        <v>-6245743.3486538343</v>
      </c>
      <c r="L150" s="127">
        <v>66</v>
      </c>
      <c r="M150" s="127">
        <v>34.086098305848942</v>
      </c>
      <c r="N150" s="61">
        <f>O150</f>
        <v>32.169342240409513</v>
      </c>
      <c r="O150" s="61">
        <f>'4. Cardno Capex Reduction'!E10</f>
        <v>32.169342240409513</v>
      </c>
      <c r="Q150" s="127">
        <v>0</v>
      </c>
      <c r="R150" s="30">
        <f>'4. Cardno Capex Reduction'!D10</f>
        <v>-6245743.3486538343</v>
      </c>
    </row>
    <row r="151" spans="2:23">
      <c r="B151" s="112"/>
      <c r="C151" s="112"/>
      <c r="D151" s="112"/>
      <c r="E151" s="112"/>
      <c r="F151" s="112"/>
      <c r="G151" s="112"/>
      <c r="H151" s="112"/>
      <c r="I151" s="112"/>
      <c r="J151" s="112"/>
    </row>
    <row r="152" spans="2:23">
      <c r="B152" s="112"/>
      <c r="C152" s="112"/>
      <c r="D152" s="112"/>
      <c r="E152" s="112"/>
      <c r="F152" s="112"/>
      <c r="G152" s="112"/>
      <c r="H152" s="112"/>
      <c r="I152" s="112"/>
      <c r="J152" s="112"/>
    </row>
    <row r="153" spans="2:23">
      <c r="B153" s="112"/>
      <c r="C153" s="112"/>
      <c r="D153" s="112"/>
      <c r="E153" s="112"/>
      <c r="F153" s="112"/>
      <c r="G153" s="112"/>
      <c r="H153" s="112"/>
      <c r="I153" s="112"/>
      <c r="J153" s="112"/>
    </row>
    <row r="154" spans="2:23">
      <c r="B154" s="112"/>
      <c r="C154" s="112"/>
      <c r="D154" s="96"/>
      <c r="E154" s="96"/>
      <c r="F154" s="97"/>
      <c r="G154" s="97"/>
      <c r="H154" s="97"/>
      <c r="I154" s="97"/>
      <c r="J154" s="76"/>
    </row>
    <row r="155" spans="2:23">
      <c r="B155" s="112"/>
      <c r="C155" s="112"/>
      <c r="D155" s="96"/>
      <c r="E155" s="96"/>
      <c r="F155" s="97"/>
      <c r="G155" s="97"/>
      <c r="H155" s="97"/>
      <c r="I155" s="97"/>
      <c r="J155" s="76"/>
    </row>
    <row r="156" spans="2:23">
      <c r="B156" s="112"/>
      <c r="C156" s="112"/>
      <c r="D156" s="96"/>
      <c r="E156" s="96"/>
      <c r="F156" s="97"/>
      <c r="G156" s="97"/>
      <c r="H156" s="97"/>
      <c r="I156" s="97"/>
      <c r="J156" s="76"/>
    </row>
    <row r="157" spans="2:23">
      <c r="B157" s="112"/>
      <c r="C157" s="112"/>
      <c r="D157" s="96"/>
      <c r="E157" s="96"/>
      <c r="F157" s="97"/>
      <c r="G157" s="97"/>
      <c r="H157" s="97"/>
      <c r="I157" s="97"/>
      <c r="J157" s="76"/>
    </row>
    <row r="158" spans="2:23">
      <c r="B158" s="112"/>
      <c r="C158" s="112"/>
      <c r="D158" s="96"/>
      <c r="E158" s="96"/>
      <c r="F158" s="97"/>
      <c r="G158" s="97"/>
      <c r="H158" s="97"/>
      <c r="I158" s="97"/>
      <c r="J158" s="76"/>
    </row>
    <row r="159" spans="2:23">
      <c r="B159" s="112"/>
      <c r="C159" s="112"/>
      <c r="D159" s="96"/>
      <c r="E159" s="96"/>
      <c r="F159" s="97"/>
      <c r="G159" s="97"/>
      <c r="H159" s="97"/>
      <c r="I159" s="97"/>
      <c r="J159" s="76"/>
    </row>
    <row r="160" spans="2:23">
      <c r="B160" s="112"/>
      <c r="C160" s="112"/>
      <c r="D160" s="96"/>
      <c r="E160" s="96"/>
      <c r="F160" s="97"/>
      <c r="G160" s="97"/>
      <c r="H160" s="97"/>
      <c r="I160" s="97"/>
      <c r="J160" s="76"/>
    </row>
    <row r="161" spans="2:10">
      <c r="B161" s="112"/>
      <c r="C161" s="112"/>
      <c r="D161" s="96"/>
      <c r="E161" s="96"/>
      <c r="F161" s="97"/>
      <c r="G161" s="97"/>
      <c r="H161" s="97"/>
      <c r="I161" s="97"/>
      <c r="J161" s="76"/>
    </row>
    <row r="162" spans="2:10">
      <c r="B162" s="112"/>
      <c r="C162" s="112"/>
      <c r="D162" s="96"/>
      <c r="E162" s="96"/>
      <c r="F162" s="97"/>
      <c r="G162" s="97"/>
      <c r="H162" s="97"/>
      <c r="I162" s="97"/>
      <c r="J162" s="76"/>
    </row>
    <row r="163" spans="2:10">
      <c r="B163" s="112"/>
      <c r="C163" s="112"/>
      <c r="D163" s="96"/>
      <c r="E163" s="96"/>
      <c r="F163" s="97"/>
      <c r="G163" s="97"/>
      <c r="H163" s="97"/>
      <c r="I163" s="97"/>
      <c r="J163" s="76"/>
    </row>
    <row r="164" spans="2:10">
      <c r="B164" s="112"/>
      <c r="C164" s="112"/>
      <c r="D164" s="96"/>
      <c r="E164" s="96"/>
      <c r="F164" s="97"/>
      <c r="G164" s="97"/>
      <c r="H164" s="97"/>
      <c r="I164" s="97"/>
      <c r="J164" s="76"/>
    </row>
    <row r="165" spans="2:10">
      <c r="B165" s="112"/>
      <c r="C165" s="112"/>
      <c r="D165" s="96"/>
      <c r="E165" s="96"/>
      <c r="F165" s="97"/>
      <c r="G165" s="97"/>
      <c r="H165" s="97"/>
      <c r="I165" s="97"/>
      <c r="J165" s="76"/>
    </row>
    <row r="166" spans="2:10">
      <c r="B166" s="112"/>
      <c r="C166" s="112"/>
      <c r="D166" s="96"/>
      <c r="E166" s="96"/>
      <c r="F166" s="97"/>
      <c r="G166" s="97"/>
      <c r="H166" s="97"/>
      <c r="I166" s="97"/>
      <c r="J166" s="76"/>
    </row>
  </sheetData>
  <pageMargins left="0" right="0" top="0" bottom="0" header="0" footer="0"/>
  <pageSetup paperSize="9" scale="80"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8F09B99B-A41C-B34F-A303-2145178AAB13}">
            <xm:f>'2. Notes and Assumptions'!$D$92="ERROR"</xm:f>
            <x14:dxf>
              <font>
                <color theme="0"/>
              </font>
              <fill>
                <patternFill patternType="solid">
                  <fgColor indexed="64"/>
                  <bgColor rgb="FFFF0000"/>
                </patternFill>
              </fill>
            </x14:dxf>
          </x14:cfRule>
          <x14:cfRule type="expression" priority="2" id="{E07CBBF3-25CB-4940-9996-22D0CF0090F9}">
            <xm:f>'2. Notes and Assumptions'!$D$103="ERROR"</xm:f>
            <x14:dxf>
              <font>
                <strike val="0"/>
                <color rgb="FF000090"/>
              </font>
              <fill>
                <patternFill patternType="darkGrid">
                  <fgColor theme="0"/>
                  <bgColor rgb="FFFF6600"/>
                </patternFill>
              </fill>
            </x14:dxf>
          </x14:cfRule>
          <xm:sqref>A1:A1048576 A1:XFD1</xm:sqref>
        </x14:conditionalFormatting>
      </x14:conditionalFormattings>
    </ex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sheetPr codeName="Sheet27"/>
  <dimension ref="A1:H214"/>
  <sheetViews>
    <sheetView zoomScaleNormal="100" workbookViewId="0">
      <pane ySplit="4" topLeftCell="A5" activePane="bottomLeft" state="frozen"/>
      <selection activeCell="A58" sqref="A58"/>
      <selection pane="bottomLeft" activeCell="I7" sqref="I7"/>
    </sheetView>
  </sheetViews>
  <sheetFormatPr defaultColWidth="10.6640625" defaultRowHeight="15"/>
  <cols>
    <col min="1" max="1" width="30.88671875" style="35" customWidth="1"/>
    <col min="2" max="2" width="51.5546875" style="2" customWidth="1"/>
    <col min="3" max="3" width="9.44140625" style="2" customWidth="1"/>
    <col min="4" max="4" width="10.88671875" style="2" customWidth="1"/>
    <col min="5" max="5" width="11.109375" style="2" customWidth="1"/>
    <col min="6" max="6" width="11.44140625" style="2" customWidth="1"/>
    <col min="7" max="8" width="11.109375" style="2" customWidth="1"/>
    <col min="9" max="16384" width="10.6640625" style="2"/>
  </cols>
  <sheetData>
    <row r="1" spans="1:8" s="6" customFormat="1" ht="24" customHeight="1">
      <c r="A1" s="92" t="s">
        <v>115</v>
      </c>
      <c r="B1" s="92"/>
      <c r="C1" s="92"/>
      <c r="D1" s="92"/>
      <c r="E1" s="92"/>
      <c r="F1" s="92"/>
      <c r="G1" s="92"/>
    </row>
    <row r="2" spans="1:8" ht="18" customHeight="1">
      <c r="A2" s="3" t="str">
        <f ca="1">MID(CELL("filename",A1),FIND("]",CELL("filename",A1))+1,LEN(CELL("filename",A1))-FIND("]",CELL("filename",A1)))</f>
        <v>20. Sewer - Existing Assets RAB</v>
      </c>
      <c r="B2" s="3"/>
      <c r="C2" s="3"/>
      <c r="D2" s="3"/>
      <c r="E2" s="3"/>
      <c r="F2" s="3"/>
      <c r="G2" s="3"/>
    </row>
    <row r="3" spans="1:8" s="6" customFormat="1">
      <c r="A3" s="35"/>
      <c r="B3" s="63"/>
      <c r="C3" s="16" t="s">
        <v>0</v>
      </c>
      <c r="D3" s="17">
        <v>1</v>
      </c>
      <c r="E3" s="17">
        <v>2</v>
      </c>
      <c r="F3" s="17">
        <v>3</v>
      </c>
      <c r="G3" s="17">
        <v>4</v>
      </c>
      <c r="H3" s="17">
        <v>5</v>
      </c>
    </row>
    <row r="4" spans="1:8" s="6" customFormat="1">
      <c r="A4" s="35"/>
      <c r="B4" s="65"/>
      <c r="C4" s="18" t="s">
        <v>1</v>
      </c>
      <c r="D4" s="19" t="s">
        <v>10</v>
      </c>
      <c r="E4" s="19" t="s">
        <v>11</v>
      </c>
      <c r="F4" s="19" t="s">
        <v>2</v>
      </c>
      <c r="G4" s="19" t="s">
        <v>3</v>
      </c>
      <c r="H4" s="19" t="s">
        <v>4</v>
      </c>
    </row>
    <row r="5" spans="1:8" ht="15.75">
      <c r="B5" s="10" t="s">
        <v>19</v>
      </c>
    </row>
    <row r="6" spans="1:8">
      <c r="B6" s="2" t="s">
        <v>20</v>
      </c>
      <c r="D6" s="67">
        <f ca="1">'3. General Model Inputs'!E8</f>
        <v>2.5000000000000001E-2</v>
      </c>
      <c r="E6" s="67">
        <f ca="1">'3. General Model Inputs'!F8</f>
        <v>2.5000000000000001E-2</v>
      </c>
      <c r="F6" s="67">
        <f ca="1">'3. General Model Inputs'!G8</f>
        <v>2.5000000000000001E-2</v>
      </c>
      <c r="G6" s="67">
        <f ca="1">'3. General Model Inputs'!H8</f>
        <v>2.5000000000000001E-2</v>
      </c>
      <c r="H6" s="67">
        <f ca="1">'3. General Model Inputs'!I8</f>
        <v>2.5000000000000001E-2</v>
      </c>
    </row>
    <row r="8" spans="1:8" ht="15.75">
      <c r="B8" s="10" t="s">
        <v>138</v>
      </c>
    </row>
    <row r="9" spans="1:8">
      <c r="B9" s="6" t="s">
        <v>116</v>
      </c>
      <c r="D9" s="46">
        <f>D53</f>
        <v>656716581.41487098</v>
      </c>
      <c r="E9" s="46">
        <f ca="1">E53</f>
        <v>656827564.54613519</v>
      </c>
      <c r="F9" s="46">
        <f ca="1">F53</f>
        <v>656533648.97057843</v>
      </c>
      <c r="G9" s="46">
        <f ca="1">G53</f>
        <v>655814520.38840246</v>
      </c>
      <c r="H9" s="46">
        <f ca="1">H53</f>
        <v>654649101.84651101</v>
      </c>
    </row>
    <row r="10" spans="1:8">
      <c r="B10" s="6" t="s">
        <v>27</v>
      </c>
      <c r="D10" s="46">
        <f>D71</f>
        <v>0</v>
      </c>
      <c r="E10" s="46">
        <f>E71</f>
        <v>0</v>
      </c>
      <c r="F10" s="46">
        <f>F71</f>
        <v>0</v>
      </c>
      <c r="G10" s="46">
        <f>G71</f>
        <v>0</v>
      </c>
      <c r="H10" s="46">
        <f>H71</f>
        <v>0</v>
      </c>
    </row>
    <row r="11" spans="1:8">
      <c r="B11" s="6" t="s">
        <v>57</v>
      </c>
      <c r="D11" s="46"/>
      <c r="E11" s="46"/>
      <c r="F11" s="46"/>
      <c r="G11" s="46"/>
      <c r="H11" s="46"/>
    </row>
    <row r="12" spans="1:8">
      <c r="B12" s="6" t="s">
        <v>12</v>
      </c>
      <c r="D12" s="46">
        <f ca="1">D89</f>
        <v>16417914.535371775</v>
      </c>
      <c r="E12" s="46">
        <f ca="1">E89</f>
        <v>16420689.11365338</v>
      </c>
      <c r="F12" s="46">
        <f ca="1">F89</f>
        <v>16413341.224264462</v>
      </c>
      <c r="G12" s="46">
        <f ca="1">G89</f>
        <v>16395363.009710062</v>
      </c>
      <c r="H12" s="46">
        <f ca="1">H89</f>
        <v>16366227.546162777</v>
      </c>
    </row>
    <row r="13" spans="1:8">
      <c r="B13" s="6" t="s">
        <v>13</v>
      </c>
      <c r="D13" s="46">
        <f ca="1">D107</f>
        <v>-16306931.404107517</v>
      </c>
      <c r="E13" s="46">
        <f ca="1">E107</f>
        <v>-16714604.689210204</v>
      </c>
      <c r="F13" s="46">
        <f ca="1">F107</f>
        <v>-17132469.806440461</v>
      </c>
      <c r="G13" s="46">
        <f ca="1">G107</f>
        <v>-17560781.551601473</v>
      </c>
      <c r="H13" s="46">
        <f ca="1">H107</f>
        <v>-17999801.090391506</v>
      </c>
    </row>
    <row r="14" spans="1:8">
      <c r="B14" s="6" t="s">
        <v>118</v>
      </c>
      <c r="D14" s="30">
        <f ca="1">D125</f>
        <v>656827564.54613519</v>
      </c>
      <c r="E14" s="30">
        <f ca="1">E125</f>
        <v>656533648.97057843</v>
      </c>
      <c r="F14" s="30">
        <f ca="1">F125</f>
        <v>655814520.38840246</v>
      </c>
      <c r="G14" s="30">
        <f ca="1">G125</f>
        <v>654649101.84651101</v>
      </c>
      <c r="H14" s="30">
        <f ca="1">H125</f>
        <v>653015528.30228221</v>
      </c>
    </row>
    <row r="15" spans="1:8">
      <c r="D15" s="30"/>
      <c r="E15" s="30"/>
      <c r="F15" s="30"/>
      <c r="G15" s="30"/>
      <c r="H15" s="30"/>
    </row>
    <row r="16" spans="1:8" ht="15.75">
      <c r="B16" s="10" t="s">
        <v>122</v>
      </c>
      <c r="D16" s="30">
        <f>D9</f>
        <v>656716581.41487098</v>
      </c>
      <c r="E16" s="30">
        <f t="shared" ref="E16:H16" ca="1" si="0">E9</f>
        <v>656827564.54613519</v>
      </c>
      <c r="F16" s="30">
        <f t="shared" ca="1" si="0"/>
        <v>656533648.97057843</v>
      </c>
      <c r="G16" s="30">
        <f t="shared" ca="1" si="0"/>
        <v>655814520.38840246</v>
      </c>
      <c r="H16" s="30">
        <f t="shared" ca="1" si="0"/>
        <v>654649101.84651101</v>
      </c>
    </row>
    <row r="17" spans="2:8">
      <c r="B17" s="68"/>
      <c r="D17" s="30"/>
      <c r="E17" s="30"/>
      <c r="F17" s="30"/>
      <c r="G17" s="30"/>
      <c r="H17" s="30"/>
    </row>
    <row r="18" spans="2:8">
      <c r="B18" s="69" t="s">
        <v>120</v>
      </c>
      <c r="C18" s="12"/>
      <c r="D18" s="13">
        <f ca="1">SUM(D9:D13)-D14</f>
        <v>0</v>
      </c>
      <c r="E18" s="13">
        <f ca="1">SUM(E9:E13)-E14</f>
        <v>0</v>
      </c>
      <c r="F18" s="13">
        <f ca="1">SUM(F9:F13)-F14</f>
        <v>0</v>
      </c>
      <c r="G18" s="13">
        <f ca="1">SUM(G9:G13)-G14</f>
        <v>0</v>
      </c>
      <c r="H18" s="13">
        <f ca="1">SUM(H9:H13)-H14</f>
        <v>0</v>
      </c>
    </row>
    <row r="19" spans="2:8">
      <c r="B19" s="68"/>
      <c r="D19" s="30"/>
      <c r="E19" s="30"/>
      <c r="F19" s="30"/>
      <c r="G19" s="30"/>
      <c r="H19" s="30"/>
    </row>
    <row r="20" spans="2:8" ht="15.75">
      <c r="B20" s="10" t="s">
        <v>139</v>
      </c>
      <c r="D20" s="30"/>
      <c r="E20" s="30"/>
      <c r="F20" s="30"/>
      <c r="G20" s="30"/>
      <c r="H20" s="30"/>
    </row>
    <row r="21" spans="2:8" ht="15.75">
      <c r="B21" s="10" t="s">
        <v>48</v>
      </c>
      <c r="D21" s="30"/>
      <c r="E21" s="30"/>
      <c r="F21" s="30"/>
      <c r="G21" s="30"/>
      <c r="H21" s="30"/>
    </row>
    <row r="22" spans="2:8">
      <c r="B22" s="2" t="str">
        <f>'18. Sewer-Existing Assets Input'!B6</f>
        <v>Sewerage Assets</v>
      </c>
      <c r="D22" s="30">
        <f>'18. Sewer-Existing Assets Input'!D6</f>
        <v>41.279041364010915</v>
      </c>
      <c r="E22" s="30">
        <f t="shared" ref="E22:H35" si="1">IF(D22&gt;=1,IF(D56,0,D22-1),0)</f>
        <v>40.279041364010915</v>
      </c>
      <c r="F22" s="30">
        <f t="shared" si="1"/>
        <v>39.279041364010915</v>
      </c>
      <c r="G22" s="30">
        <f t="shared" si="1"/>
        <v>38.279041364010915</v>
      </c>
      <c r="H22" s="30">
        <f t="shared" si="1"/>
        <v>37.279041364010915</v>
      </c>
    </row>
    <row r="23" spans="2:8">
      <c r="B23" s="2" t="str">
        <f>'18. Sewer-Existing Assets Input'!B7</f>
        <v>[enter sewerage asset]</v>
      </c>
      <c r="D23" s="30">
        <f>'18. Sewer-Existing Assets Input'!D7</f>
        <v>0</v>
      </c>
      <c r="E23" s="30">
        <f t="shared" si="1"/>
        <v>0</v>
      </c>
      <c r="F23" s="30">
        <f t="shared" si="1"/>
        <v>0</v>
      </c>
      <c r="G23" s="30">
        <f t="shared" si="1"/>
        <v>0</v>
      </c>
      <c r="H23" s="30">
        <f t="shared" si="1"/>
        <v>0</v>
      </c>
    </row>
    <row r="24" spans="2:8">
      <c r="B24" s="2" t="str">
        <f>'18. Sewer-Existing Assets Input'!B8</f>
        <v>[enter sewerage asset]</v>
      </c>
      <c r="D24" s="30">
        <f>'18. Sewer-Existing Assets Input'!D8</f>
        <v>0</v>
      </c>
      <c r="E24" s="30">
        <f t="shared" si="1"/>
        <v>0</v>
      </c>
      <c r="F24" s="30">
        <f t="shared" si="1"/>
        <v>0</v>
      </c>
      <c r="G24" s="30">
        <f t="shared" si="1"/>
        <v>0</v>
      </c>
      <c r="H24" s="30">
        <f t="shared" si="1"/>
        <v>0</v>
      </c>
    </row>
    <row r="25" spans="2:8">
      <c r="B25" s="2" t="str">
        <f>'18. Sewer-Existing Assets Input'!B9</f>
        <v>[enter sewerage asset]</v>
      </c>
      <c r="D25" s="30">
        <f>'18. Sewer-Existing Assets Input'!D9</f>
        <v>0</v>
      </c>
      <c r="E25" s="30">
        <f t="shared" si="1"/>
        <v>0</v>
      </c>
      <c r="F25" s="30">
        <f t="shared" si="1"/>
        <v>0</v>
      </c>
      <c r="G25" s="30">
        <f t="shared" si="1"/>
        <v>0</v>
      </c>
      <c r="H25" s="30">
        <f t="shared" si="1"/>
        <v>0</v>
      </c>
    </row>
    <row r="26" spans="2:8">
      <c r="B26" s="2" t="str">
        <f>'18. Sewer-Existing Assets Input'!B10</f>
        <v>[enter sewerage asset]</v>
      </c>
      <c r="D26" s="30">
        <f>'18. Sewer-Existing Assets Input'!D10</f>
        <v>0</v>
      </c>
      <c r="E26" s="30">
        <f t="shared" si="1"/>
        <v>0</v>
      </c>
      <c r="F26" s="30">
        <f t="shared" si="1"/>
        <v>0</v>
      </c>
      <c r="G26" s="30">
        <f t="shared" si="1"/>
        <v>0</v>
      </c>
      <c r="H26" s="30">
        <f t="shared" si="1"/>
        <v>0</v>
      </c>
    </row>
    <row r="27" spans="2:8">
      <c r="B27" s="2" t="str">
        <f>'18. Sewer-Existing Assets Input'!B11</f>
        <v>[enter sewerage asset]</v>
      </c>
      <c r="D27" s="30">
        <f>'18. Sewer-Existing Assets Input'!D11</f>
        <v>0</v>
      </c>
      <c r="E27" s="30">
        <f t="shared" si="1"/>
        <v>0</v>
      </c>
      <c r="F27" s="30">
        <f t="shared" si="1"/>
        <v>0</v>
      </c>
      <c r="G27" s="30">
        <f t="shared" si="1"/>
        <v>0</v>
      </c>
      <c r="H27" s="30">
        <f t="shared" si="1"/>
        <v>0</v>
      </c>
    </row>
    <row r="28" spans="2:8">
      <c r="B28" s="2" t="str">
        <f>'18. Sewer-Existing Assets Input'!B12</f>
        <v>[enter sewerage asset]</v>
      </c>
      <c r="D28" s="30">
        <f>'18. Sewer-Existing Assets Input'!D12</f>
        <v>0</v>
      </c>
      <c r="E28" s="30">
        <f t="shared" si="1"/>
        <v>0</v>
      </c>
      <c r="F28" s="30">
        <f t="shared" si="1"/>
        <v>0</v>
      </c>
      <c r="G28" s="30">
        <f t="shared" si="1"/>
        <v>0</v>
      </c>
      <c r="H28" s="30">
        <f t="shared" si="1"/>
        <v>0</v>
      </c>
    </row>
    <row r="29" spans="2:8">
      <c r="B29" s="2" t="str">
        <f>'18. Sewer-Existing Assets Input'!B13</f>
        <v>[enter sewerage asset]</v>
      </c>
      <c r="D29" s="30">
        <f>'18. Sewer-Existing Assets Input'!D13</f>
        <v>0</v>
      </c>
      <c r="E29" s="30">
        <f t="shared" si="1"/>
        <v>0</v>
      </c>
      <c r="F29" s="30">
        <f t="shared" si="1"/>
        <v>0</v>
      </c>
      <c r="G29" s="30">
        <f t="shared" si="1"/>
        <v>0</v>
      </c>
      <c r="H29" s="30">
        <f t="shared" si="1"/>
        <v>0</v>
      </c>
    </row>
    <row r="30" spans="2:8">
      <c r="B30" s="2" t="str">
        <f>'18. Sewer-Existing Assets Input'!B14</f>
        <v>[enter sewerage asset]</v>
      </c>
      <c r="D30" s="30">
        <f>'18. Sewer-Existing Assets Input'!D14</f>
        <v>0</v>
      </c>
      <c r="E30" s="30">
        <f t="shared" si="1"/>
        <v>0</v>
      </c>
      <c r="F30" s="30">
        <f t="shared" si="1"/>
        <v>0</v>
      </c>
      <c r="G30" s="30">
        <f t="shared" si="1"/>
        <v>0</v>
      </c>
      <c r="H30" s="30">
        <f t="shared" si="1"/>
        <v>0</v>
      </c>
    </row>
    <row r="31" spans="2:8">
      <c r="B31" s="2" t="str">
        <f>'18. Sewer-Existing Assets Input'!B15</f>
        <v>[enter sewerage asset]</v>
      </c>
      <c r="D31" s="30">
        <f>'18. Sewer-Existing Assets Input'!D15</f>
        <v>0</v>
      </c>
      <c r="E31" s="30">
        <f t="shared" si="1"/>
        <v>0</v>
      </c>
      <c r="F31" s="30">
        <f t="shared" si="1"/>
        <v>0</v>
      </c>
      <c r="G31" s="30">
        <f t="shared" si="1"/>
        <v>0</v>
      </c>
      <c r="H31" s="30">
        <f t="shared" si="1"/>
        <v>0</v>
      </c>
    </row>
    <row r="32" spans="2:8">
      <c r="B32" s="2" t="str">
        <f>'18. Sewer-Existing Assets Input'!B16</f>
        <v>[enter sewerage asset]</v>
      </c>
      <c r="D32" s="30">
        <f>'18. Sewer-Existing Assets Input'!D16</f>
        <v>0</v>
      </c>
      <c r="E32" s="30">
        <f t="shared" si="1"/>
        <v>0</v>
      </c>
      <c r="F32" s="30">
        <f t="shared" si="1"/>
        <v>0</v>
      </c>
      <c r="G32" s="30">
        <f t="shared" si="1"/>
        <v>0</v>
      </c>
      <c r="H32" s="30">
        <f t="shared" si="1"/>
        <v>0</v>
      </c>
    </row>
    <row r="33" spans="2:8">
      <c r="B33" s="2" t="str">
        <f>'18. Sewer-Existing Assets Input'!B17</f>
        <v>[enter sewerage asset]</v>
      </c>
      <c r="D33" s="30">
        <f>'18. Sewer-Existing Assets Input'!D17</f>
        <v>0</v>
      </c>
      <c r="E33" s="30">
        <f t="shared" si="1"/>
        <v>0</v>
      </c>
      <c r="F33" s="30">
        <f t="shared" si="1"/>
        <v>0</v>
      </c>
      <c r="G33" s="30">
        <f t="shared" si="1"/>
        <v>0</v>
      </c>
      <c r="H33" s="30">
        <f t="shared" si="1"/>
        <v>0</v>
      </c>
    </row>
    <row r="34" spans="2:8">
      <c r="B34" s="2" t="str">
        <f>'18. Sewer-Existing Assets Input'!B18</f>
        <v>[enter sewerage asset]</v>
      </c>
      <c r="D34" s="30">
        <f>'18. Sewer-Existing Assets Input'!D18</f>
        <v>0</v>
      </c>
      <c r="E34" s="30">
        <f t="shared" si="1"/>
        <v>0</v>
      </c>
      <c r="F34" s="30">
        <f t="shared" si="1"/>
        <v>0</v>
      </c>
      <c r="G34" s="30">
        <f t="shared" si="1"/>
        <v>0</v>
      </c>
      <c r="H34" s="30">
        <f t="shared" si="1"/>
        <v>0</v>
      </c>
    </row>
    <row r="35" spans="2:8">
      <c r="B35" s="2" t="str">
        <f>'18. Sewer-Existing Assets Input'!B19</f>
        <v>[enter sewerage asset]</v>
      </c>
      <c r="D35" s="30">
        <f>'18. Sewer-Existing Assets Input'!D19</f>
        <v>0</v>
      </c>
      <c r="E35" s="30">
        <f t="shared" si="1"/>
        <v>0</v>
      </c>
      <c r="F35" s="30">
        <f t="shared" si="1"/>
        <v>0</v>
      </c>
      <c r="G35" s="30">
        <f t="shared" si="1"/>
        <v>0</v>
      </c>
      <c r="H35" s="30">
        <f t="shared" si="1"/>
        <v>0</v>
      </c>
    </row>
    <row r="36" spans="2:8">
      <c r="D36" s="30"/>
      <c r="E36" s="30"/>
      <c r="F36" s="30"/>
      <c r="G36" s="30"/>
      <c r="H36" s="30"/>
    </row>
    <row r="37" spans="2:8" ht="15.75">
      <c r="B37" s="10" t="s">
        <v>116</v>
      </c>
      <c r="D37" s="30"/>
      <c r="E37" s="30"/>
      <c r="F37" s="30"/>
      <c r="G37" s="30"/>
      <c r="H37" s="30"/>
    </row>
    <row r="38" spans="2:8">
      <c r="B38" s="2" t="str">
        <f>B22</f>
        <v>Sewerage Assets</v>
      </c>
      <c r="D38" s="30">
        <f>IF('18. Sewer-Existing Assets Input'!H6,'18. Sewer-Existing Assets Input'!C6,0)</f>
        <v>656716581.41487098</v>
      </c>
      <c r="E38" s="30">
        <f ca="1">D110</f>
        <v>656827564.54613519</v>
      </c>
      <c r="F38" s="30">
        <f t="shared" ref="F38:H38" ca="1" si="2">E110</f>
        <v>656533648.97057843</v>
      </c>
      <c r="G38" s="30">
        <f t="shared" ca="1" si="2"/>
        <v>655814520.38840246</v>
      </c>
      <c r="H38" s="30">
        <f t="shared" ca="1" si="2"/>
        <v>654649101.84651101</v>
      </c>
    </row>
    <row r="39" spans="2:8">
      <c r="B39" s="2" t="str">
        <f t="shared" ref="B39:B51" si="3">B23</f>
        <v>[enter sewerage asset]</v>
      </c>
      <c r="D39" s="30">
        <f>IF('18. Sewer-Existing Assets Input'!H7,'18. Sewer-Existing Assets Input'!C7,0)</f>
        <v>0</v>
      </c>
      <c r="E39" s="30">
        <f t="shared" ref="E39:H51" ca="1" si="4">D111</f>
        <v>0</v>
      </c>
      <c r="F39" s="30">
        <f t="shared" ca="1" si="4"/>
        <v>0</v>
      </c>
      <c r="G39" s="30">
        <f t="shared" ca="1" si="4"/>
        <v>0</v>
      </c>
      <c r="H39" s="30">
        <f t="shared" ca="1" si="4"/>
        <v>0</v>
      </c>
    </row>
    <row r="40" spans="2:8">
      <c r="B40" s="2" t="str">
        <f t="shared" si="3"/>
        <v>[enter sewerage asset]</v>
      </c>
      <c r="D40" s="30">
        <f>IF('18. Sewer-Existing Assets Input'!H8,'18. Sewer-Existing Assets Input'!C8,0)</f>
        <v>0</v>
      </c>
      <c r="E40" s="30">
        <f t="shared" ca="1" si="4"/>
        <v>0</v>
      </c>
      <c r="F40" s="30">
        <f t="shared" ca="1" si="4"/>
        <v>0</v>
      </c>
      <c r="G40" s="30">
        <f t="shared" ca="1" si="4"/>
        <v>0</v>
      </c>
      <c r="H40" s="30">
        <f t="shared" ca="1" si="4"/>
        <v>0</v>
      </c>
    </row>
    <row r="41" spans="2:8">
      <c r="B41" s="2" t="str">
        <f t="shared" si="3"/>
        <v>[enter sewerage asset]</v>
      </c>
      <c r="D41" s="30">
        <f>IF('18. Sewer-Existing Assets Input'!H9,'18. Sewer-Existing Assets Input'!C9,0)</f>
        <v>0</v>
      </c>
      <c r="E41" s="30">
        <f t="shared" ca="1" si="4"/>
        <v>0</v>
      </c>
      <c r="F41" s="30">
        <f t="shared" ca="1" si="4"/>
        <v>0</v>
      </c>
      <c r="G41" s="30">
        <f t="shared" ca="1" si="4"/>
        <v>0</v>
      </c>
      <c r="H41" s="30">
        <f t="shared" ca="1" si="4"/>
        <v>0</v>
      </c>
    </row>
    <row r="42" spans="2:8">
      <c r="B42" s="2" t="str">
        <f t="shared" si="3"/>
        <v>[enter sewerage asset]</v>
      </c>
      <c r="D42" s="30">
        <f>IF('18. Sewer-Existing Assets Input'!H10,'18. Sewer-Existing Assets Input'!C10,0)</f>
        <v>0</v>
      </c>
      <c r="E42" s="30">
        <f t="shared" ca="1" si="4"/>
        <v>0</v>
      </c>
      <c r="F42" s="30">
        <f t="shared" ca="1" si="4"/>
        <v>0</v>
      </c>
      <c r="G42" s="30">
        <f t="shared" ca="1" si="4"/>
        <v>0</v>
      </c>
      <c r="H42" s="30">
        <f t="shared" ca="1" si="4"/>
        <v>0</v>
      </c>
    </row>
    <row r="43" spans="2:8">
      <c r="B43" s="2" t="str">
        <f t="shared" si="3"/>
        <v>[enter sewerage asset]</v>
      </c>
      <c r="D43" s="30">
        <f>IF('18. Sewer-Existing Assets Input'!H11,'18. Sewer-Existing Assets Input'!C11,0)</f>
        <v>0</v>
      </c>
      <c r="E43" s="30">
        <f t="shared" ca="1" si="4"/>
        <v>0</v>
      </c>
      <c r="F43" s="30">
        <f t="shared" ca="1" si="4"/>
        <v>0</v>
      </c>
      <c r="G43" s="30">
        <f t="shared" ca="1" si="4"/>
        <v>0</v>
      </c>
      <c r="H43" s="30">
        <f t="shared" ca="1" si="4"/>
        <v>0</v>
      </c>
    </row>
    <row r="44" spans="2:8">
      <c r="B44" s="2" t="str">
        <f t="shared" si="3"/>
        <v>[enter sewerage asset]</v>
      </c>
      <c r="D44" s="30">
        <f>IF('18. Sewer-Existing Assets Input'!H12,'18. Sewer-Existing Assets Input'!C12,0)</f>
        <v>0</v>
      </c>
      <c r="E44" s="30">
        <f t="shared" ca="1" si="4"/>
        <v>0</v>
      </c>
      <c r="F44" s="30">
        <f t="shared" ca="1" si="4"/>
        <v>0</v>
      </c>
      <c r="G44" s="30">
        <f t="shared" ca="1" si="4"/>
        <v>0</v>
      </c>
      <c r="H44" s="30">
        <f t="shared" ca="1" si="4"/>
        <v>0</v>
      </c>
    </row>
    <row r="45" spans="2:8">
      <c r="B45" s="2" t="str">
        <f t="shared" si="3"/>
        <v>[enter sewerage asset]</v>
      </c>
      <c r="D45" s="30">
        <f>IF('18. Sewer-Existing Assets Input'!H13,'18. Sewer-Existing Assets Input'!C13,0)</f>
        <v>0</v>
      </c>
      <c r="E45" s="30">
        <f t="shared" ca="1" si="4"/>
        <v>0</v>
      </c>
      <c r="F45" s="30">
        <f t="shared" ca="1" si="4"/>
        <v>0</v>
      </c>
      <c r="G45" s="30">
        <f t="shared" ca="1" si="4"/>
        <v>0</v>
      </c>
      <c r="H45" s="30">
        <f t="shared" ca="1" si="4"/>
        <v>0</v>
      </c>
    </row>
    <row r="46" spans="2:8">
      <c r="B46" s="2" t="str">
        <f t="shared" si="3"/>
        <v>[enter sewerage asset]</v>
      </c>
      <c r="D46" s="30">
        <f>IF('18. Sewer-Existing Assets Input'!H14,'18. Sewer-Existing Assets Input'!C14,0)</f>
        <v>0</v>
      </c>
      <c r="E46" s="30">
        <f t="shared" ca="1" si="4"/>
        <v>0</v>
      </c>
      <c r="F46" s="30">
        <f t="shared" ca="1" si="4"/>
        <v>0</v>
      </c>
      <c r="G46" s="30">
        <f t="shared" ca="1" si="4"/>
        <v>0</v>
      </c>
      <c r="H46" s="30">
        <f t="shared" ca="1" si="4"/>
        <v>0</v>
      </c>
    </row>
    <row r="47" spans="2:8">
      <c r="B47" s="2" t="str">
        <f t="shared" si="3"/>
        <v>[enter sewerage asset]</v>
      </c>
      <c r="D47" s="30">
        <f>IF('18. Sewer-Existing Assets Input'!H15,'18. Sewer-Existing Assets Input'!C15,0)</f>
        <v>0</v>
      </c>
      <c r="E47" s="30">
        <f t="shared" ca="1" si="4"/>
        <v>0</v>
      </c>
      <c r="F47" s="30">
        <f t="shared" ca="1" si="4"/>
        <v>0</v>
      </c>
      <c r="G47" s="30">
        <f t="shared" ca="1" si="4"/>
        <v>0</v>
      </c>
      <c r="H47" s="30">
        <f t="shared" ca="1" si="4"/>
        <v>0</v>
      </c>
    </row>
    <row r="48" spans="2:8">
      <c r="B48" s="2" t="str">
        <f t="shared" si="3"/>
        <v>[enter sewerage asset]</v>
      </c>
      <c r="D48" s="30">
        <f>IF('18. Sewer-Existing Assets Input'!H16,'18. Sewer-Existing Assets Input'!C16,0)</f>
        <v>0</v>
      </c>
      <c r="E48" s="30">
        <f t="shared" ca="1" si="4"/>
        <v>0</v>
      </c>
      <c r="F48" s="30">
        <f t="shared" ca="1" si="4"/>
        <v>0</v>
      </c>
      <c r="G48" s="30">
        <f t="shared" ca="1" si="4"/>
        <v>0</v>
      </c>
      <c r="H48" s="30">
        <f t="shared" ca="1" si="4"/>
        <v>0</v>
      </c>
    </row>
    <row r="49" spans="1:8">
      <c r="B49" s="2" t="str">
        <f t="shared" si="3"/>
        <v>[enter sewerage asset]</v>
      </c>
      <c r="D49" s="30">
        <f>IF('18. Sewer-Existing Assets Input'!H17,'18. Sewer-Existing Assets Input'!C17,0)</f>
        <v>0</v>
      </c>
      <c r="E49" s="30">
        <f t="shared" ca="1" si="4"/>
        <v>0</v>
      </c>
      <c r="F49" s="30">
        <f t="shared" ca="1" si="4"/>
        <v>0</v>
      </c>
      <c r="G49" s="30">
        <f t="shared" ca="1" si="4"/>
        <v>0</v>
      </c>
      <c r="H49" s="30">
        <f t="shared" ca="1" si="4"/>
        <v>0</v>
      </c>
    </row>
    <row r="50" spans="1:8">
      <c r="B50" s="2" t="str">
        <f t="shared" si="3"/>
        <v>[enter sewerage asset]</v>
      </c>
      <c r="D50" s="30">
        <f>IF('18. Sewer-Existing Assets Input'!H18,'18. Sewer-Existing Assets Input'!C18,0)</f>
        <v>0</v>
      </c>
      <c r="E50" s="30">
        <f t="shared" ca="1" si="4"/>
        <v>0</v>
      </c>
      <c r="F50" s="30">
        <f t="shared" ca="1" si="4"/>
        <v>0</v>
      </c>
      <c r="G50" s="30">
        <f t="shared" ca="1" si="4"/>
        <v>0</v>
      </c>
      <c r="H50" s="30">
        <f t="shared" ca="1" si="4"/>
        <v>0</v>
      </c>
    </row>
    <row r="51" spans="1:8">
      <c r="B51" s="2" t="str">
        <f t="shared" si="3"/>
        <v>[enter sewerage asset]</v>
      </c>
      <c r="D51" s="30">
        <f>IF('18. Sewer-Existing Assets Input'!H19,'18. Sewer-Existing Assets Input'!C19,0)</f>
        <v>0</v>
      </c>
      <c r="E51" s="30">
        <f t="shared" ca="1" si="4"/>
        <v>0</v>
      </c>
      <c r="F51" s="30">
        <f t="shared" ca="1" si="4"/>
        <v>0</v>
      </c>
      <c r="G51" s="30">
        <f t="shared" ca="1" si="4"/>
        <v>0</v>
      </c>
      <c r="H51" s="30">
        <f t="shared" ca="1" si="4"/>
        <v>0</v>
      </c>
    </row>
    <row r="52" spans="1:8">
      <c r="D52" s="30"/>
      <c r="E52" s="30"/>
      <c r="F52" s="30"/>
      <c r="G52" s="30"/>
      <c r="H52" s="30"/>
    </row>
    <row r="53" spans="1:8">
      <c r="B53" s="2" t="s">
        <v>49</v>
      </c>
      <c r="D53" s="48">
        <f>SUM(D38:D52)</f>
        <v>656716581.41487098</v>
      </c>
      <c r="E53" s="48">
        <f ca="1">SUM(E38:E52)</f>
        <v>656827564.54613519</v>
      </c>
      <c r="F53" s="48">
        <f ca="1">SUM(F38:F52)</f>
        <v>656533648.97057843</v>
      </c>
      <c r="G53" s="48">
        <f ca="1">SUM(G38:G52)</f>
        <v>655814520.38840246</v>
      </c>
      <c r="H53" s="48">
        <f ca="1">SUM(H38:H52)</f>
        <v>654649101.84651101</v>
      </c>
    </row>
    <row r="54" spans="1:8">
      <c r="D54" s="30"/>
      <c r="E54" s="30"/>
      <c r="F54" s="30"/>
      <c r="G54" s="30"/>
      <c r="H54" s="30"/>
    </row>
    <row r="55" spans="1:8" ht="15.75">
      <c r="A55" s="35">
        <f>'2. Notes and Assumptions'!B47</f>
        <v>24</v>
      </c>
      <c r="B55" s="10" t="s">
        <v>27</v>
      </c>
      <c r="D55" s="30"/>
      <c r="E55" s="30"/>
      <c r="F55" s="30"/>
      <c r="G55" s="30"/>
      <c r="H55" s="30"/>
    </row>
    <row r="56" spans="1:8">
      <c r="B56" s="2" t="str">
        <f t="shared" ref="B56:B69" si="5">B38</f>
        <v>Sewerage Assets</v>
      </c>
      <c r="D56" s="30"/>
      <c r="E56" s="30"/>
      <c r="F56" s="30"/>
      <c r="G56" s="30"/>
      <c r="H56" s="30"/>
    </row>
    <row r="57" spans="1:8">
      <c r="B57" s="2" t="str">
        <f t="shared" si="5"/>
        <v>[enter sewerage asset]</v>
      </c>
      <c r="D57" s="30"/>
      <c r="E57" s="30"/>
      <c r="F57" s="30"/>
      <c r="G57" s="30"/>
      <c r="H57" s="30"/>
    </row>
    <row r="58" spans="1:8">
      <c r="B58" s="2" t="str">
        <f t="shared" si="5"/>
        <v>[enter sewerage asset]</v>
      </c>
      <c r="D58" s="30"/>
      <c r="E58" s="30"/>
      <c r="F58" s="30"/>
      <c r="G58" s="30"/>
      <c r="H58" s="30"/>
    </row>
    <row r="59" spans="1:8">
      <c r="B59" s="2" t="str">
        <f t="shared" si="5"/>
        <v>[enter sewerage asset]</v>
      </c>
      <c r="D59" s="30"/>
      <c r="E59" s="30"/>
      <c r="F59" s="30"/>
      <c r="G59" s="30"/>
      <c r="H59" s="30"/>
    </row>
    <row r="60" spans="1:8">
      <c r="B60" s="2" t="str">
        <f t="shared" si="5"/>
        <v>[enter sewerage asset]</v>
      </c>
      <c r="D60" s="30"/>
      <c r="E60" s="30"/>
      <c r="F60" s="30"/>
      <c r="G60" s="30"/>
      <c r="H60" s="30"/>
    </row>
    <row r="61" spans="1:8">
      <c r="B61" s="2" t="str">
        <f t="shared" si="5"/>
        <v>[enter sewerage asset]</v>
      </c>
      <c r="D61" s="30"/>
      <c r="E61" s="30"/>
      <c r="F61" s="30"/>
      <c r="G61" s="30"/>
      <c r="H61" s="30"/>
    </row>
    <row r="62" spans="1:8">
      <c r="B62" s="2" t="str">
        <f t="shared" si="5"/>
        <v>[enter sewerage asset]</v>
      </c>
      <c r="D62" s="30"/>
      <c r="E62" s="30"/>
      <c r="F62" s="30"/>
      <c r="G62" s="30"/>
      <c r="H62" s="30"/>
    </row>
    <row r="63" spans="1:8">
      <c r="B63" s="2" t="str">
        <f t="shared" si="5"/>
        <v>[enter sewerage asset]</v>
      </c>
      <c r="D63" s="30"/>
      <c r="E63" s="30"/>
      <c r="F63" s="30"/>
      <c r="G63" s="30"/>
      <c r="H63" s="30"/>
    </row>
    <row r="64" spans="1:8">
      <c r="B64" s="2" t="str">
        <f t="shared" si="5"/>
        <v>[enter sewerage asset]</v>
      </c>
      <c r="D64" s="30"/>
      <c r="E64" s="30"/>
      <c r="F64" s="30"/>
      <c r="G64" s="30"/>
      <c r="H64" s="30"/>
    </row>
    <row r="65" spans="2:8">
      <c r="B65" s="2" t="str">
        <f t="shared" si="5"/>
        <v>[enter sewerage asset]</v>
      </c>
      <c r="D65" s="30"/>
      <c r="E65" s="30"/>
      <c r="F65" s="30"/>
      <c r="G65" s="30"/>
      <c r="H65" s="30"/>
    </row>
    <row r="66" spans="2:8">
      <c r="B66" s="2" t="str">
        <f t="shared" si="5"/>
        <v>[enter sewerage asset]</v>
      </c>
      <c r="D66" s="30"/>
      <c r="E66" s="30"/>
      <c r="F66" s="30"/>
      <c r="G66" s="30"/>
      <c r="H66" s="30"/>
    </row>
    <row r="67" spans="2:8">
      <c r="B67" s="2" t="str">
        <f t="shared" si="5"/>
        <v>[enter sewerage asset]</v>
      </c>
      <c r="D67" s="30"/>
      <c r="E67" s="30"/>
      <c r="F67" s="30"/>
      <c r="G67" s="30"/>
      <c r="H67" s="30"/>
    </row>
    <row r="68" spans="2:8">
      <c r="B68" s="2" t="str">
        <f t="shared" si="5"/>
        <v>[enter sewerage asset]</v>
      </c>
      <c r="D68" s="30"/>
      <c r="E68" s="30"/>
      <c r="F68" s="30"/>
      <c r="G68" s="30"/>
      <c r="H68" s="30"/>
    </row>
    <row r="69" spans="2:8">
      <c r="B69" s="2" t="str">
        <f t="shared" si="5"/>
        <v>[enter sewerage asset]</v>
      </c>
      <c r="D69" s="30"/>
      <c r="E69" s="30"/>
      <c r="F69" s="30"/>
      <c r="G69" s="30"/>
      <c r="H69" s="30"/>
    </row>
    <row r="70" spans="2:8">
      <c r="D70" s="30"/>
      <c r="E70" s="30"/>
      <c r="F70" s="30"/>
      <c r="G70" s="30"/>
      <c r="H70" s="30"/>
    </row>
    <row r="71" spans="2:8">
      <c r="B71" s="2" t="s">
        <v>49</v>
      </c>
      <c r="D71" s="48">
        <f>SUM(D56:D70)</f>
        <v>0</v>
      </c>
      <c r="E71" s="48">
        <f>SUM(E56:E70)</f>
        <v>0</v>
      </c>
      <c r="F71" s="48">
        <f>SUM(F56:F70)</f>
        <v>0</v>
      </c>
      <c r="G71" s="48">
        <f>SUM(G56:G70)</f>
        <v>0</v>
      </c>
      <c r="H71" s="48">
        <f>SUM(H56:H70)</f>
        <v>0</v>
      </c>
    </row>
    <row r="72" spans="2:8">
      <c r="D72" s="70"/>
      <c r="E72" s="70"/>
      <c r="F72" s="70"/>
      <c r="G72" s="70"/>
      <c r="H72" s="70"/>
    </row>
    <row r="73" spans="2:8" ht="15.75">
      <c r="B73" s="10" t="s">
        <v>12</v>
      </c>
      <c r="D73" s="30"/>
      <c r="E73" s="30"/>
      <c r="F73" s="30"/>
      <c r="G73" s="30"/>
      <c r="H73" s="30"/>
    </row>
    <row r="74" spans="2:8">
      <c r="B74" s="2" t="str">
        <f t="shared" ref="B74:B87" si="6">B56</f>
        <v>Sewerage Assets</v>
      </c>
      <c r="D74" s="30">
        <f t="shared" ref="D74:H87" ca="1" si="7">(D38+D56)*D$6</f>
        <v>16417914.535371775</v>
      </c>
      <c r="E74" s="30">
        <f t="shared" ca="1" si="7"/>
        <v>16420689.11365338</v>
      </c>
      <c r="F74" s="30">
        <f t="shared" ca="1" si="7"/>
        <v>16413341.224264462</v>
      </c>
      <c r="G74" s="30">
        <f t="shared" ca="1" si="7"/>
        <v>16395363.009710062</v>
      </c>
      <c r="H74" s="30">
        <f t="shared" ca="1" si="7"/>
        <v>16366227.546162777</v>
      </c>
    </row>
    <row r="75" spans="2:8">
      <c r="B75" s="2" t="str">
        <f t="shared" si="6"/>
        <v>[enter sewerage asset]</v>
      </c>
      <c r="D75" s="30">
        <f t="shared" ca="1" si="7"/>
        <v>0</v>
      </c>
      <c r="E75" s="30">
        <f t="shared" ca="1" si="7"/>
        <v>0</v>
      </c>
      <c r="F75" s="30">
        <f t="shared" ca="1" si="7"/>
        <v>0</v>
      </c>
      <c r="G75" s="30">
        <f t="shared" ca="1" si="7"/>
        <v>0</v>
      </c>
      <c r="H75" s="30">
        <f t="shared" ca="1" si="7"/>
        <v>0</v>
      </c>
    </row>
    <row r="76" spans="2:8">
      <c r="B76" s="2" t="str">
        <f t="shared" si="6"/>
        <v>[enter sewerage asset]</v>
      </c>
      <c r="D76" s="30">
        <f t="shared" ca="1" si="7"/>
        <v>0</v>
      </c>
      <c r="E76" s="30">
        <f t="shared" ca="1" si="7"/>
        <v>0</v>
      </c>
      <c r="F76" s="30">
        <f t="shared" ca="1" si="7"/>
        <v>0</v>
      </c>
      <c r="G76" s="30">
        <f t="shared" ca="1" si="7"/>
        <v>0</v>
      </c>
      <c r="H76" s="30">
        <f t="shared" ca="1" si="7"/>
        <v>0</v>
      </c>
    </row>
    <row r="77" spans="2:8">
      <c r="B77" s="2" t="str">
        <f t="shared" si="6"/>
        <v>[enter sewerage asset]</v>
      </c>
      <c r="D77" s="30">
        <f t="shared" ca="1" si="7"/>
        <v>0</v>
      </c>
      <c r="E77" s="30">
        <f t="shared" ca="1" si="7"/>
        <v>0</v>
      </c>
      <c r="F77" s="30">
        <f t="shared" ca="1" si="7"/>
        <v>0</v>
      </c>
      <c r="G77" s="30">
        <f t="shared" ca="1" si="7"/>
        <v>0</v>
      </c>
      <c r="H77" s="30">
        <f t="shared" ca="1" si="7"/>
        <v>0</v>
      </c>
    </row>
    <row r="78" spans="2:8">
      <c r="B78" s="2" t="str">
        <f t="shared" si="6"/>
        <v>[enter sewerage asset]</v>
      </c>
      <c r="D78" s="30">
        <f t="shared" ca="1" si="7"/>
        <v>0</v>
      </c>
      <c r="E78" s="30">
        <f t="shared" ca="1" si="7"/>
        <v>0</v>
      </c>
      <c r="F78" s="30">
        <f t="shared" ca="1" si="7"/>
        <v>0</v>
      </c>
      <c r="G78" s="30">
        <f t="shared" ca="1" si="7"/>
        <v>0</v>
      </c>
      <c r="H78" s="30">
        <f t="shared" ca="1" si="7"/>
        <v>0</v>
      </c>
    </row>
    <row r="79" spans="2:8">
      <c r="B79" s="2" t="str">
        <f t="shared" si="6"/>
        <v>[enter sewerage asset]</v>
      </c>
      <c r="D79" s="30">
        <f t="shared" ca="1" si="7"/>
        <v>0</v>
      </c>
      <c r="E79" s="30">
        <f t="shared" ca="1" si="7"/>
        <v>0</v>
      </c>
      <c r="F79" s="30">
        <f t="shared" ca="1" si="7"/>
        <v>0</v>
      </c>
      <c r="G79" s="30">
        <f t="shared" ca="1" si="7"/>
        <v>0</v>
      </c>
      <c r="H79" s="30">
        <f t="shared" ca="1" si="7"/>
        <v>0</v>
      </c>
    </row>
    <row r="80" spans="2:8">
      <c r="B80" s="2" t="str">
        <f t="shared" si="6"/>
        <v>[enter sewerage asset]</v>
      </c>
      <c r="D80" s="30">
        <f t="shared" ca="1" si="7"/>
        <v>0</v>
      </c>
      <c r="E80" s="30">
        <f t="shared" ca="1" si="7"/>
        <v>0</v>
      </c>
      <c r="F80" s="30">
        <f t="shared" ca="1" si="7"/>
        <v>0</v>
      </c>
      <c r="G80" s="30">
        <f t="shared" ca="1" si="7"/>
        <v>0</v>
      </c>
      <c r="H80" s="30">
        <f t="shared" ca="1" si="7"/>
        <v>0</v>
      </c>
    </row>
    <row r="81" spans="2:8">
      <c r="B81" s="2" t="str">
        <f t="shared" si="6"/>
        <v>[enter sewerage asset]</v>
      </c>
      <c r="D81" s="30">
        <f t="shared" ca="1" si="7"/>
        <v>0</v>
      </c>
      <c r="E81" s="30">
        <f t="shared" ca="1" si="7"/>
        <v>0</v>
      </c>
      <c r="F81" s="30">
        <f t="shared" ca="1" si="7"/>
        <v>0</v>
      </c>
      <c r="G81" s="30">
        <f t="shared" ca="1" si="7"/>
        <v>0</v>
      </c>
      <c r="H81" s="30">
        <f t="shared" ca="1" si="7"/>
        <v>0</v>
      </c>
    </row>
    <row r="82" spans="2:8">
      <c r="B82" s="2" t="str">
        <f t="shared" si="6"/>
        <v>[enter sewerage asset]</v>
      </c>
      <c r="D82" s="30">
        <f t="shared" ca="1" si="7"/>
        <v>0</v>
      </c>
      <c r="E82" s="30">
        <f t="shared" ca="1" si="7"/>
        <v>0</v>
      </c>
      <c r="F82" s="30">
        <f t="shared" ca="1" si="7"/>
        <v>0</v>
      </c>
      <c r="G82" s="30">
        <f t="shared" ca="1" si="7"/>
        <v>0</v>
      </c>
      <c r="H82" s="30">
        <f t="shared" ca="1" si="7"/>
        <v>0</v>
      </c>
    </row>
    <row r="83" spans="2:8">
      <c r="B83" s="2" t="str">
        <f t="shared" si="6"/>
        <v>[enter sewerage asset]</v>
      </c>
      <c r="D83" s="30">
        <f t="shared" ca="1" si="7"/>
        <v>0</v>
      </c>
      <c r="E83" s="30">
        <f t="shared" ca="1" si="7"/>
        <v>0</v>
      </c>
      <c r="F83" s="30">
        <f t="shared" ca="1" si="7"/>
        <v>0</v>
      </c>
      <c r="G83" s="30">
        <f t="shared" ca="1" si="7"/>
        <v>0</v>
      </c>
      <c r="H83" s="30">
        <f t="shared" ca="1" si="7"/>
        <v>0</v>
      </c>
    </row>
    <row r="84" spans="2:8">
      <c r="B84" s="2" t="str">
        <f t="shared" si="6"/>
        <v>[enter sewerage asset]</v>
      </c>
      <c r="D84" s="30">
        <f t="shared" ca="1" si="7"/>
        <v>0</v>
      </c>
      <c r="E84" s="30">
        <f t="shared" ca="1" si="7"/>
        <v>0</v>
      </c>
      <c r="F84" s="30">
        <f t="shared" ca="1" si="7"/>
        <v>0</v>
      </c>
      <c r="G84" s="30">
        <f t="shared" ca="1" si="7"/>
        <v>0</v>
      </c>
      <c r="H84" s="30">
        <f t="shared" ca="1" si="7"/>
        <v>0</v>
      </c>
    </row>
    <row r="85" spans="2:8">
      <c r="B85" s="2" t="str">
        <f t="shared" si="6"/>
        <v>[enter sewerage asset]</v>
      </c>
      <c r="D85" s="30">
        <f t="shared" ca="1" si="7"/>
        <v>0</v>
      </c>
      <c r="E85" s="30">
        <f t="shared" ca="1" si="7"/>
        <v>0</v>
      </c>
      <c r="F85" s="30">
        <f t="shared" ca="1" si="7"/>
        <v>0</v>
      </c>
      <c r="G85" s="30">
        <f t="shared" ca="1" si="7"/>
        <v>0</v>
      </c>
      <c r="H85" s="30">
        <f t="shared" ca="1" si="7"/>
        <v>0</v>
      </c>
    </row>
    <row r="86" spans="2:8">
      <c r="B86" s="2" t="str">
        <f t="shared" si="6"/>
        <v>[enter sewerage asset]</v>
      </c>
      <c r="D86" s="30">
        <f t="shared" ca="1" si="7"/>
        <v>0</v>
      </c>
      <c r="E86" s="30">
        <f t="shared" ca="1" si="7"/>
        <v>0</v>
      </c>
      <c r="F86" s="30">
        <f t="shared" ca="1" si="7"/>
        <v>0</v>
      </c>
      <c r="G86" s="30">
        <f t="shared" ca="1" si="7"/>
        <v>0</v>
      </c>
      <c r="H86" s="30">
        <f t="shared" ca="1" si="7"/>
        <v>0</v>
      </c>
    </row>
    <row r="87" spans="2:8">
      <c r="B87" s="2" t="str">
        <f t="shared" si="6"/>
        <v>[enter sewerage asset]</v>
      </c>
      <c r="D87" s="30">
        <f t="shared" ca="1" si="7"/>
        <v>0</v>
      </c>
      <c r="E87" s="30">
        <f t="shared" ca="1" si="7"/>
        <v>0</v>
      </c>
      <c r="F87" s="30">
        <f t="shared" ca="1" si="7"/>
        <v>0</v>
      </c>
      <c r="G87" s="30">
        <f t="shared" ca="1" si="7"/>
        <v>0</v>
      </c>
      <c r="H87" s="30">
        <f t="shared" ca="1" si="7"/>
        <v>0</v>
      </c>
    </row>
    <row r="88" spans="2:8">
      <c r="D88" s="30"/>
      <c r="E88" s="30"/>
      <c r="F88" s="30"/>
      <c r="G88" s="30"/>
      <c r="H88" s="30"/>
    </row>
    <row r="89" spans="2:8">
      <c r="B89" s="2" t="s">
        <v>49</v>
      </c>
      <c r="D89" s="48">
        <f ca="1">SUM(D74:D88)</f>
        <v>16417914.535371775</v>
      </c>
      <c r="E89" s="48">
        <f ca="1">SUM(E74:E88)</f>
        <v>16420689.11365338</v>
      </c>
      <c r="F89" s="48">
        <f ca="1">SUM(F74:F88)</f>
        <v>16413341.224264462</v>
      </c>
      <c r="G89" s="48">
        <f ca="1">SUM(G74:G88)</f>
        <v>16395363.009710062</v>
      </c>
      <c r="H89" s="48">
        <f ca="1">SUM(H74:H88)</f>
        <v>16366227.546162777</v>
      </c>
    </row>
    <row r="90" spans="2:8">
      <c r="D90" s="70"/>
      <c r="E90" s="70"/>
      <c r="F90" s="70"/>
      <c r="G90" s="70"/>
      <c r="H90" s="70"/>
    </row>
    <row r="91" spans="2:8" ht="15.75">
      <c r="B91" s="10" t="s">
        <v>13</v>
      </c>
      <c r="D91" s="30"/>
      <c r="E91" s="30"/>
      <c r="F91" s="30"/>
      <c r="G91" s="30"/>
      <c r="H91" s="30"/>
    </row>
    <row r="92" spans="2:8">
      <c r="B92" s="2" t="str">
        <f t="shared" ref="B92:B105" si="8">B74</f>
        <v>Sewerage Assets</v>
      </c>
      <c r="D92" s="30">
        <f t="shared" ref="D92:H105" ca="1" si="9">IF(D22&lt;1,-(D38+D56+D74),-(D38+D56+D74)/D22)</f>
        <v>-16306931.404107517</v>
      </c>
      <c r="E92" s="30">
        <f t="shared" ca="1" si="9"/>
        <v>-16714604.689210204</v>
      </c>
      <c r="F92" s="30">
        <f t="shared" ca="1" si="9"/>
        <v>-17132469.806440461</v>
      </c>
      <c r="G92" s="30">
        <f t="shared" ca="1" si="9"/>
        <v>-17560781.551601473</v>
      </c>
      <c r="H92" s="30">
        <f t="shared" ca="1" si="9"/>
        <v>-17999801.090391506</v>
      </c>
    </row>
    <row r="93" spans="2:8">
      <c r="B93" s="2" t="str">
        <f t="shared" si="8"/>
        <v>[enter sewerage asset]</v>
      </c>
      <c r="D93" s="30">
        <f t="shared" ca="1" si="9"/>
        <v>0</v>
      </c>
      <c r="E93" s="30">
        <f t="shared" ca="1" si="9"/>
        <v>0</v>
      </c>
      <c r="F93" s="30">
        <f t="shared" ca="1" si="9"/>
        <v>0</v>
      </c>
      <c r="G93" s="30">
        <f t="shared" ca="1" si="9"/>
        <v>0</v>
      </c>
      <c r="H93" s="30">
        <f t="shared" ca="1" si="9"/>
        <v>0</v>
      </c>
    </row>
    <row r="94" spans="2:8">
      <c r="B94" s="2" t="str">
        <f t="shared" si="8"/>
        <v>[enter sewerage asset]</v>
      </c>
      <c r="D94" s="30">
        <f t="shared" ca="1" si="9"/>
        <v>0</v>
      </c>
      <c r="E94" s="30">
        <f t="shared" ca="1" si="9"/>
        <v>0</v>
      </c>
      <c r="F94" s="30">
        <f t="shared" ca="1" si="9"/>
        <v>0</v>
      </c>
      <c r="G94" s="30">
        <f t="shared" ca="1" si="9"/>
        <v>0</v>
      </c>
      <c r="H94" s="30">
        <f t="shared" ca="1" si="9"/>
        <v>0</v>
      </c>
    </row>
    <row r="95" spans="2:8">
      <c r="B95" s="2" t="str">
        <f t="shared" si="8"/>
        <v>[enter sewerage asset]</v>
      </c>
      <c r="D95" s="30">
        <f t="shared" ca="1" si="9"/>
        <v>0</v>
      </c>
      <c r="E95" s="30">
        <f t="shared" ca="1" si="9"/>
        <v>0</v>
      </c>
      <c r="F95" s="30">
        <f t="shared" ca="1" si="9"/>
        <v>0</v>
      </c>
      <c r="G95" s="30">
        <f t="shared" ca="1" si="9"/>
        <v>0</v>
      </c>
      <c r="H95" s="30">
        <f t="shared" ca="1" si="9"/>
        <v>0</v>
      </c>
    </row>
    <row r="96" spans="2:8">
      <c r="B96" s="2" t="str">
        <f t="shared" si="8"/>
        <v>[enter sewerage asset]</v>
      </c>
      <c r="D96" s="30">
        <f t="shared" ca="1" si="9"/>
        <v>0</v>
      </c>
      <c r="E96" s="30">
        <f t="shared" ca="1" si="9"/>
        <v>0</v>
      </c>
      <c r="F96" s="30">
        <f t="shared" ca="1" si="9"/>
        <v>0</v>
      </c>
      <c r="G96" s="30">
        <f t="shared" ca="1" si="9"/>
        <v>0</v>
      </c>
      <c r="H96" s="30">
        <f t="shared" ca="1" si="9"/>
        <v>0</v>
      </c>
    </row>
    <row r="97" spans="2:8">
      <c r="B97" s="2" t="str">
        <f t="shared" si="8"/>
        <v>[enter sewerage asset]</v>
      </c>
      <c r="D97" s="30">
        <f t="shared" ca="1" si="9"/>
        <v>0</v>
      </c>
      <c r="E97" s="30">
        <f t="shared" ca="1" si="9"/>
        <v>0</v>
      </c>
      <c r="F97" s="30">
        <f t="shared" ca="1" si="9"/>
        <v>0</v>
      </c>
      <c r="G97" s="30">
        <f t="shared" ca="1" si="9"/>
        <v>0</v>
      </c>
      <c r="H97" s="30">
        <f t="shared" ca="1" si="9"/>
        <v>0</v>
      </c>
    </row>
    <row r="98" spans="2:8">
      <c r="B98" s="2" t="str">
        <f t="shared" si="8"/>
        <v>[enter sewerage asset]</v>
      </c>
      <c r="D98" s="30">
        <f t="shared" ca="1" si="9"/>
        <v>0</v>
      </c>
      <c r="E98" s="30">
        <f t="shared" ca="1" si="9"/>
        <v>0</v>
      </c>
      <c r="F98" s="30">
        <f t="shared" ca="1" si="9"/>
        <v>0</v>
      </c>
      <c r="G98" s="30">
        <f t="shared" ca="1" si="9"/>
        <v>0</v>
      </c>
      <c r="H98" s="30">
        <f t="shared" ca="1" si="9"/>
        <v>0</v>
      </c>
    </row>
    <row r="99" spans="2:8">
      <c r="B99" s="2" t="str">
        <f t="shared" si="8"/>
        <v>[enter sewerage asset]</v>
      </c>
      <c r="D99" s="30">
        <f t="shared" ca="1" si="9"/>
        <v>0</v>
      </c>
      <c r="E99" s="30">
        <f t="shared" ca="1" si="9"/>
        <v>0</v>
      </c>
      <c r="F99" s="30">
        <f t="shared" ca="1" si="9"/>
        <v>0</v>
      </c>
      <c r="G99" s="30">
        <f t="shared" ca="1" si="9"/>
        <v>0</v>
      </c>
      <c r="H99" s="30">
        <f t="shared" ca="1" si="9"/>
        <v>0</v>
      </c>
    </row>
    <row r="100" spans="2:8">
      <c r="B100" s="2" t="str">
        <f t="shared" si="8"/>
        <v>[enter sewerage asset]</v>
      </c>
      <c r="D100" s="30">
        <f t="shared" ca="1" si="9"/>
        <v>0</v>
      </c>
      <c r="E100" s="30">
        <f t="shared" ca="1" si="9"/>
        <v>0</v>
      </c>
      <c r="F100" s="30">
        <f t="shared" ca="1" si="9"/>
        <v>0</v>
      </c>
      <c r="G100" s="30">
        <f t="shared" ca="1" si="9"/>
        <v>0</v>
      </c>
      <c r="H100" s="30">
        <f t="shared" ca="1" si="9"/>
        <v>0</v>
      </c>
    </row>
    <row r="101" spans="2:8">
      <c r="B101" s="2" t="str">
        <f t="shared" si="8"/>
        <v>[enter sewerage asset]</v>
      </c>
      <c r="D101" s="30">
        <f t="shared" ca="1" si="9"/>
        <v>0</v>
      </c>
      <c r="E101" s="30">
        <f t="shared" ca="1" si="9"/>
        <v>0</v>
      </c>
      <c r="F101" s="30">
        <f t="shared" ca="1" si="9"/>
        <v>0</v>
      </c>
      <c r="G101" s="30">
        <f t="shared" ca="1" si="9"/>
        <v>0</v>
      </c>
      <c r="H101" s="30">
        <f t="shared" ca="1" si="9"/>
        <v>0</v>
      </c>
    </row>
    <row r="102" spans="2:8">
      <c r="B102" s="2" t="str">
        <f t="shared" si="8"/>
        <v>[enter sewerage asset]</v>
      </c>
      <c r="D102" s="30">
        <f t="shared" ca="1" si="9"/>
        <v>0</v>
      </c>
      <c r="E102" s="30">
        <f t="shared" ca="1" si="9"/>
        <v>0</v>
      </c>
      <c r="F102" s="30">
        <f t="shared" ca="1" si="9"/>
        <v>0</v>
      </c>
      <c r="G102" s="30">
        <f t="shared" ca="1" si="9"/>
        <v>0</v>
      </c>
      <c r="H102" s="30">
        <f t="shared" ca="1" si="9"/>
        <v>0</v>
      </c>
    </row>
    <row r="103" spans="2:8">
      <c r="B103" s="2" t="str">
        <f t="shared" si="8"/>
        <v>[enter sewerage asset]</v>
      </c>
      <c r="D103" s="30">
        <f t="shared" ca="1" si="9"/>
        <v>0</v>
      </c>
      <c r="E103" s="30">
        <f t="shared" ca="1" si="9"/>
        <v>0</v>
      </c>
      <c r="F103" s="30">
        <f t="shared" ca="1" si="9"/>
        <v>0</v>
      </c>
      <c r="G103" s="30">
        <f t="shared" ca="1" si="9"/>
        <v>0</v>
      </c>
      <c r="H103" s="30">
        <f t="shared" ca="1" si="9"/>
        <v>0</v>
      </c>
    </row>
    <row r="104" spans="2:8">
      <c r="B104" s="2" t="str">
        <f t="shared" si="8"/>
        <v>[enter sewerage asset]</v>
      </c>
      <c r="D104" s="30">
        <f t="shared" ca="1" si="9"/>
        <v>0</v>
      </c>
      <c r="E104" s="30">
        <f t="shared" ca="1" si="9"/>
        <v>0</v>
      </c>
      <c r="F104" s="30">
        <f t="shared" ca="1" si="9"/>
        <v>0</v>
      </c>
      <c r="G104" s="30">
        <f t="shared" ca="1" si="9"/>
        <v>0</v>
      </c>
      <c r="H104" s="30">
        <f t="shared" ca="1" si="9"/>
        <v>0</v>
      </c>
    </row>
    <row r="105" spans="2:8">
      <c r="B105" s="2" t="str">
        <f t="shared" si="8"/>
        <v>[enter sewerage asset]</v>
      </c>
      <c r="D105" s="30">
        <f t="shared" ca="1" si="9"/>
        <v>0</v>
      </c>
      <c r="E105" s="30">
        <f t="shared" ca="1" si="9"/>
        <v>0</v>
      </c>
      <c r="F105" s="30">
        <f t="shared" ca="1" si="9"/>
        <v>0</v>
      </c>
      <c r="G105" s="30">
        <f t="shared" ca="1" si="9"/>
        <v>0</v>
      </c>
      <c r="H105" s="30">
        <f t="shared" ca="1" si="9"/>
        <v>0</v>
      </c>
    </row>
    <row r="106" spans="2:8">
      <c r="D106" s="30"/>
      <c r="E106" s="30"/>
      <c r="F106" s="30"/>
      <c r="G106" s="30"/>
      <c r="H106" s="30"/>
    </row>
    <row r="107" spans="2:8">
      <c r="B107" s="2" t="s">
        <v>49</v>
      </c>
      <c r="D107" s="48">
        <f ca="1">SUM(D92:D106)</f>
        <v>-16306931.404107517</v>
      </c>
      <c r="E107" s="48">
        <f ca="1">SUM(E92:E106)</f>
        <v>-16714604.689210204</v>
      </c>
      <c r="F107" s="48">
        <f ca="1">SUM(F92:F106)</f>
        <v>-17132469.806440461</v>
      </c>
      <c r="G107" s="48">
        <f ca="1">SUM(G92:G106)</f>
        <v>-17560781.551601473</v>
      </c>
      <c r="H107" s="48">
        <f ca="1">SUM(H92:H106)</f>
        <v>-17999801.090391506</v>
      </c>
    </row>
    <row r="108" spans="2:8">
      <c r="D108" s="30"/>
      <c r="E108" s="30"/>
      <c r="F108" s="30"/>
      <c r="G108" s="30"/>
      <c r="H108" s="30"/>
    </row>
    <row r="109" spans="2:8" ht="15.75">
      <c r="B109" s="10" t="s">
        <v>118</v>
      </c>
      <c r="D109" s="30"/>
      <c r="E109" s="30"/>
      <c r="F109" s="30"/>
      <c r="G109" s="30"/>
      <c r="H109" s="30"/>
    </row>
    <row r="110" spans="2:8">
      <c r="B110" s="2" t="str">
        <f>B92</f>
        <v>Sewerage Assets</v>
      </c>
      <c r="D110" s="30">
        <f t="shared" ref="D110:H123" ca="1" si="10">D38+D56+D74+D92</f>
        <v>656827564.54613519</v>
      </c>
      <c r="E110" s="30">
        <f t="shared" ca="1" si="10"/>
        <v>656533648.97057843</v>
      </c>
      <c r="F110" s="30">
        <f t="shared" ca="1" si="10"/>
        <v>655814520.38840246</v>
      </c>
      <c r="G110" s="30">
        <f t="shared" ca="1" si="10"/>
        <v>654649101.84651101</v>
      </c>
      <c r="H110" s="30">
        <f t="shared" ca="1" si="10"/>
        <v>653015528.30228221</v>
      </c>
    </row>
    <row r="111" spans="2:8">
      <c r="B111" s="2" t="str">
        <f t="shared" ref="B111:B123" si="11">B93</f>
        <v>[enter sewerage asset]</v>
      </c>
      <c r="D111" s="30">
        <f t="shared" ca="1" si="10"/>
        <v>0</v>
      </c>
      <c r="E111" s="30">
        <f t="shared" ca="1" si="10"/>
        <v>0</v>
      </c>
      <c r="F111" s="30">
        <f t="shared" ca="1" si="10"/>
        <v>0</v>
      </c>
      <c r="G111" s="30">
        <f t="shared" ca="1" si="10"/>
        <v>0</v>
      </c>
      <c r="H111" s="30">
        <f t="shared" ca="1" si="10"/>
        <v>0</v>
      </c>
    </row>
    <row r="112" spans="2:8">
      <c r="B112" s="2" t="str">
        <f t="shared" si="11"/>
        <v>[enter sewerage asset]</v>
      </c>
      <c r="D112" s="30">
        <f t="shared" ca="1" si="10"/>
        <v>0</v>
      </c>
      <c r="E112" s="30">
        <f t="shared" ca="1" si="10"/>
        <v>0</v>
      </c>
      <c r="F112" s="30">
        <f t="shared" ca="1" si="10"/>
        <v>0</v>
      </c>
      <c r="G112" s="30">
        <f t="shared" ca="1" si="10"/>
        <v>0</v>
      </c>
      <c r="H112" s="30">
        <f t="shared" ca="1" si="10"/>
        <v>0</v>
      </c>
    </row>
    <row r="113" spans="2:8">
      <c r="B113" s="2" t="str">
        <f t="shared" si="11"/>
        <v>[enter sewerage asset]</v>
      </c>
      <c r="D113" s="30">
        <f t="shared" ca="1" si="10"/>
        <v>0</v>
      </c>
      <c r="E113" s="30">
        <f t="shared" ca="1" si="10"/>
        <v>0</v>
      </c>
      <c r="F113" s="30">
        <f t="shared" ca="1" si="10"/>
        <v>0</v>
      </c>
      <c r="G113" s="30">
        <f t="shared" ca="1" si="10"/>
        <v>0</v>
      </c>
      <c r="H113" s="30">
        <f t="shared" ca="1" si="10"/>
        <v>0</v>
      </c>
    </row>
    <row r="114" spans="2:8">
      <c r="B114" s="2" t="str">
        <f t="shared" si="11"/>
        <v>[enter sewerage asset]</v>
      </c>
      <c r="D114" s="30">
        <f t="shared" ca="1" si="10"/>
        <v>0</v>
      </c>
      <c r="E114" s="30">
        <f t="shared" ca="1" si="10"/>
        <v>0</v>
      </c>
      <c r="F114" s="30">
        <f t="shared" ca="1" si="10"/>
        <v>0</v>
      </c>
      <c r="G114" s="30">
        <f t="shared" ca="1" si="10"/>
        <v>0</v>
      </c>
      <c r="H114" s="30">
        <f t="shared" ca="1" si="10"/>
        <v>0</v>
      </c>
    </row>
    <row r="115" spans="2:8">
      <c r="B115" s="2" t="str">
        <f t="shared" si="11"/>
        <v>[enter sewerage asset]</v>
      </c>
      <c r="D115" s="30">
        <f t="shared" ca="1" si="10"/>
        <v>0</v>
      </c>
      <c r="E115" s="30">
        <f t="shared" ca="1" si="10"/>
        <v>0</v>
      </c>
      <c r="F115" s="30">
        <f t="shared" ca="1" si="10"/>
        <v>0</v>
      </c>
      <c r="G115" s="30">
        <f t="shared" ca="1" si="10"/>
        <v>0</v>
      </c>
      <c r="H115" s="30">
        <f t="shared" ca="1" si="10"/>
        <v>0</v>
      </c>
    </row>
    <row r="116" spans="2:8">
      <c r="B116" s="2" t="str">
        <f t="shared" si="11"/>
        <v>[enter sewerage asset]</v>
      </c>
      <c r="D116" s="30">
        <f t="shared" ca="1" si="10"/>
        <v>0</v>
      </c>
      <c r="E116" s="30">
        <f t="shared" ca="1" si="10"/>
        <v>0</v>
      </c>
      <c r="F116" s="30">
        <f t="shared" ca="1" si="10"/>
        <v>0</v>
      </c>
      <c r="G116" s="30">
        <f t="shared" ca="1" si="10"/>
        <v>0</v>
      </c>
      <c r="H116" s="30">
        <f t="shared" ca="1" si="10"/>
        <v>0</v>
      </c>
    </row>
    <row r="117" spans="2:8">
      <c r="B117" s="2" t="str">
        <f t="shared" si="11"/>
        <v>[enter sewerage asset]</v>
      </c>
      <c r="D117" s="30">
        <f t="shared" ca="1" si="10"/>
        <v>0</v>
      </c>
      <c r="E117" s="30">
        <f t="shared" ca="1" si="10"/>
        <v>0</v>
      </c>
      <c r="F117" s="30">
        <f t="shared" ca="1" si="10"/>
        <v>0</v>
      </c>
      <c r="G117" s="30">
        <f t="shared" ca="1" si="10"/>
        <v>0</v>
      </c>
      <c r="H117" s="30">
        <f t="shared" ca="1" si="10"/>
        <v>0</v>
      </c>
    </row>
    <row r="118" spans="2:8">
      <c r="B118" s="2" t="str">
        <f t="shared" si="11"/>
        <v>[enter sewerage asset]</v>
      </c>
      <c r="D118" s="30">
        <f t="shared" ca="1" si="10"/>
        <v>0</v>
      </c>
      <c r="E118" s="30">
        <f t="shared" ca="1" si="10"/>
        <v>0</v>
      </c>
      <c r="F118" s="30">
        <f t="shared" ca="1" si="10"/>
        <v>0</v>
      </c>
      <c r="G118" s="30">
        <f t="shared" ca="1" si="10"/>
        <v>0</v>
      </c>
      <c r="H118" s="30">
        <f t="shared" ca="1" si="10"/>
        <v>0</v>
      </c>
    </row>
    <row r="119" spans="2:8">
      <c r="B119" s="2" t="str">
        <f t="shared" si="11"/>
        <v>[enter sewerage asset]</v>
      </c>
      <c r="D119" s="30">
        <f t="shared" ca="1" si="10"/>
        <v>0</v>
      </c>
      <c r="E119" s="30">
        <f t="shared" ca="1" si="10"/>
        <v>0</v>
      </c>
      <c r="F119" s="30">
        <f t="shared" ca="1" si="10"/>
        <v>0</v>
      </c>
      <c r="G119" s="30">
        <f t="shared" ca="1" si="10"/>
        <v>0</v>
      </c>
      <c r="H119" s="30">
        <f t="shared" ca="1" si="10"/>
        <v>0</v>
      </c>
    </row>
    <row r="120" spans="2:8">
      <c r="B120" s="2" t="str">
        <f t="shared" si="11"/>
        <v>[enter sewerage asset]</v>
      </c>
      <c r="D120" s="30">
        <f t="shared" ca="1" si="10"/>
        <v>0</v>
      </c>
      <c r="E120" s="30">
        <f t="shared" ca="1" si="10"/>
        <v>0</v>
      </c>
      <c r="F120" s="30">
        <f t="shared" ca="1" si="10"/>
        <v>0</v>
      </c>
      <c r="G120" s="30">
        <f t="shared" ca="1" si="10"/>
        <v>0</v>
      </c>
      <c r="H120" s="30">
        <f t="shared" ca="1" si="10"/>
        <v>0</v>
      </c>
    </row>
    <row r="121" spans="2:8">
      <c r="B121" s="2" t="str">
        <f t="shared" si="11"/>
        <v>[enter sewerage asset]</v>
      </c>
      <c r="D121" s="30">
        <f t="shared" ca="1" si="10"/>
        <v>0</v>
      </c>
      <c r="E121" s="30">
        <f t="shared" ca="1" si="10"/>
        <v>0</v>
      </c>
      <c r="F121" s="30">
        <f t="shared" ca="1" si="10"/>
        <v>0</v>
      </c>
      <c r="G121" s="30">
        <f t="shared" ca="1" si="10"/>
        <v>0</v>
      </c>
      <c r="H121" s="30">
        <f t="shared" ca="1" si="10"/>
        <v>0</v>
      </c>
    </row>
    <row r="122" spans="2:8">
      <c r="B122" s="2" t="str">
        <f t="shared" si="11"/>
        <v>[enter sewerage asset]</v>
      </c>
      <c r="D122" s="30">
        <f t="shared" ca="1" si="10"/>
        <v>0</v>
      </c>
      <c r="E122" s="30">
        <f t="shared" ca="1" si="10"/>
        <v>0</v>
      </c>
      <c r="F122" s="30">
        <f t="shared" ca="1" si="10"/>
        <v>0</v>
      </c>
      <c r="G122" s="30">
        <f t="shared" ca="1" si="10"/>
        <v>0</v>
      </c>
      <c r="H122" s="30">
        <f t="shared" ca="1" si="10"/>
        <v>0</v>
      </c>
    </row>
    <row r="123" spans="2:8">
      <c r="B123" s="2" t="str">
        <f t="shared" si="11"/>
        <v>[enter sewerage asset]</v>
      </c>
      <c r="D123" s="30">
        <f t="shared" ca="1" si="10"/>
        <v>0</v>
      </c>
      <c r="E123" s="30">
        <f t="shared" ca="1" si="10"/>
        <v>0</v>
      </c>
      <c r="F123" s="30">
        <f t="shared" ca="1" si="10"/>
        <v>0</v>
      </c>
      <c r="G123" s="30">
        <f t="shared" ca="1" si="10"/>
        <v>0</v>
      </c>
      <c r="H123" s="30">
        <f t="shared" ca="1" si="10"/>
        <v>0</v>
      </c>
    </row>
    <row r="124" spans="2:8">
      <c r="D124" s="30"/>
      <c r="E124" s="30"/>
      <c r="F124" s="30"/>
      <c r="G124" s="30"/>
      <c r="H124" s="30"/>
    </row>
    <row r="125" spans="2:8">
      <c r="B125" s="2" t="s">
        <v>49</v>
      </c>
      <c r="D125" s="48">
        <f ca="1">SUM(D110:D124)</f>
        <v>656827564.54613519</v>
      </c>
      <c r="E125" s="48">
        <f ca="1">SUM(E110:E124)</f>
        <v>656533648.97057843</v>
      </c>
      <c r="F125" s="48">
        <f ca="1">SUM(F110:F124)</f>
        <v>655814520.38840246</v>
      </c>
      <c r="G125" s="48">
        <f ca="1">SUM(G110:G124)</f>
        <v>654649101.84651101</v>
      </c>
      <c r="H125" s="48">
        <f ca="1">SUM(H110:H124)</f>
        <v>653015528.30228221</v>
      </c>
    </row>
    <row r="126" spans="2:8">
      <c r="D126" s="30"/>
      <c r="E126" s="30"/>
      <c r="F126" s="30"/>
      <c r="G126" s="30"/>
      <c r="H126" s="30"/>
    </row>
    <row r="127" spans="2:8">
      <c r="D127" s="30"/>
      <c r="E127" s="30"/>
      <c r="F127" s="30"/>
      <c r="G127" s="30"/>
      <c r="H127" s="30"/>
    </row>
    <row r="128" spans="2:8">
      <c r="D128" s="30"/>
      <c r="E128" s="30"/>
      <c r="F128" s="30"/>
      <c r="G128" s="30"/>
      <c r="H128" s="30"/>
    </row>
    <row r="129" spans="4:8">
      <c r="D129" s="30"/>
      <c r="E129" s="30"/>
      <c r="F129" s="30"/>
      <c r="G129" s="30"/>
      <c r="H129" s="30"/>
    </row>
    <row r="130" spans="4:8">
      <c r="D130" s="30"/>
      <c r="E130" s="30"/>
      <c r="F130" s="30"/>
      <c r="G130" s="30"/>
      <c r="H130" s="30"/>
    </row>
    <row r="131" spans="4:8">
      <c r="D131" s="30"/>
      <c r="E131" s="30"/>
      <c r="F131" s="30"/>
      <c r="G131" s="30"/>
      <c r="H131" s="30"/>
    </row>
    <row r="132" spans="4:8">
      <c r="D132" s="30"/>
      <c r="E132" s="30"/>
      <c r="F132" s="30"/>
      <c r="G132" s="30"/>
      <c r="H132" s="30"/>
    </row>
    <row r="133" spans="4:8">
      <c r="D133" s="30"/>
      <c r="E133" s="30"/>
      <c r="F133" s="30"/>
      <c r="G133" s="30"/>
      <c r="H133" s="30"/>
    </row>
    <row r="134" spans="4:8">
      <c r="D134" s="30"/>
      <c r="E134" s="30"/>
      <c r="F134" s="30"/>
      <c r="G134" s="30"/>
      <c r="H134" s="30"/>
    </row>
    <row r="135" spans="4:8">
      <c r="D135" s="30"/>
      <c r="E135" s="30"/>
      <c r="F135" s="30"/>
      <c r="G135" s="30"/>
      <c r="H135" s="30"/>
    </row>
    <row r="136" spans="4:8">
      <c r="D136" s="30"/>
      <c r="E136" s="30"/>
      <c r="F136" s="30"/>
      <c r="G136" s="30"/>
      <c r="H136" s="30"/>
    </row>
    <row r="137" spans="4:8">
      <c r="D137" s="30"/>
      <c r="E137" s="30"/>
      <c r="F137" s="30"/>
      <c r="G137" s="30"/>
      <c r="H137" s="30"/>
    </row>
    <row r="138" spans="4:8">
      <c r="D138" s="30"/>
      <c r="E138" s="30"/>
      <c r="F138" s="30"/>
      <c r="G138" s="30"/>
      <c r="H138" s="30"/>
    </row>
    <row r="139" spans="4:8">
      <c r="D139" s="30"/>
      <c r="E139" s="30"/>
      <c r="F139" s="30"/>
      <c r="G139" s="30"/>
      <c r="H139" s="30"/>
    </row>
    <row r="140" spans="4:8">
      <c r="D140" s="30"/>
      <c r="E140" s="30"/>
      <c r="F140" s="30"/>
      <c r="G140" s="30"/>
      <c r="H140" s="30"/>
    </row>
    <row r="141" spans="4:8">
      <c r="D141" s="30"/>
      <c r="E141" s="30"/>
      <c r="F141" s="30"/>
      <c r="G141" s="30"/>
      <c r="H141" s="30"/>
    </row>
    <row r="142" spans="4:8">
      <c r="D142" s="30"/>
      <c r="E142" s="30"/>
      <c r="F142" s="30"/>
      <c r="G142" s="30"/>
      <c r="H142" s="30"/>
    </row>
    <row r="143" spans="4:8">
      <c r="D143" s="30"/>
      <c r="E143" s="30"/>
      <c r="F143" s="30"/>
      <c r="G143" s="30"/>
      <c r="H143" s="30"/>
    </row>
    <row r="144" spans="4:8">
      <c r="D144" s="30"/>
      <c r="E144" s="30"/>
      <c r="F144" s="30"/>
      <c r="G144" s="30"/>
      <c r="H144" s="30"/>
    </row>
    <row r="145" spans="4:8">
      <c r="D145" s="30"/>
      <c r="E145" s="30"/>
      <c r="F145" s="30"/>
      <c r="G145" s="30"/>
      <c r="H145" s="30"/>
    </row>
    <row r="146" spans="4:8">
      <c r="D146" s="30"/>
      <c r="E146" s="30"/>
      <c r="F146" s="30"/>
      <c r="G146" s="30"/>
      <c r="H146" s="30"/>
    </row>
    <row r="147" spans="4:8">
      <c r="D147" s="30"/>
      <c r="E147" s="30"/>
      <c r="F147" s="30"/>
      <c r="G147" s="30"/>
      <c r="H147" s="30"/>
    </row>
    <row r="148" spans="4:8">
      <c r="D148" s="30"/>
      <c r="E148" s="30"/>
      <c r="F148" s="30"/>
      <c r="G148" s="30"/>
      <c r="H148" s="30"/>
    </row>
    <row r="149" spans="4:8">
      <c r="D149" s="30"/>
      <c r="E149" s="30"/>
      <c r="F149" s="30"/>
      <c r="G149" s="30"/>
      <c r="H149" s="30"/>
    </row>
    <row r="150" spans="4:8">
      <c r="D150" s="30"/>
      <c r="E150" s="30"/>
      <c r="F150" s="30"/>
      <c r="G150" s="30"/>
      <c r="H150" s="30"/>
    </row>
    <row r="151" spans="4:8">
      <c r="D151" s="30"/>
      <c r="E151" s="30"/>
      <c r="F151" s="30"/>
      <c r="G151" s="30"/>
      <c r="H151" s="30"/>
    </row>
    <row r="152" spans="4:8">
      <c r="D152" s="30"/>
      <c r="E152" s="30"/>
      <c r="F152" s="30"/>
      <c r="G152" s="30"/>
      <c r="H152" s="30"/>
    </row>
    <row r="153" spans="4:8">
      <c r="D153" s="30"/>
      <c r="E153" s="30"/>
      <c r="F153" s="30"/>
      <c r="G153" s="30"/>
      <c r="H153" s="30"/>
    </row>
    <row r="154" spans="4:8">
      <c r="D154" s="30"/>
      <c r="E154" s="30"/>
      <c r="F154" s="30"/>
      <c r="G154" s="30"/>
      <c r="H154" s="30"/>
    </row>
    <row r="155" spans="4:8">
      <c r="D155" s="30"/>
      <c r="E155" s="30"/>
      <c r="F155" s="30"/>
      <c r="G155" s="30"/>
      <c r="H155" s="30"/>
    </row>
    <row r="156" spans="4:8">
      <c r="D156" s="30"/>
      <c r="E156" s="30"/>
      <c r="F156" s="30"/>
      <c r="G156" s="30"/>
      <c r="H156" s="30"/>
    </row>
    <row r="157" spans="4:8">
      <c r="D157" s="30"/>
      <c r="E157" s="30"/>
      <c r="F157" s="30"/>
      <c r="G157" s="30"/>
      <c r="H157" s="30"/>
    </row>
    <row r="158" spans="4:8">
      <c r="D158" s="30"/>
      <c r="E158" s="30"/>
      <c r="F158" s="30"/>
      <c r="G158" s="30"/>
      <c r="H158" s="30"/>
    </row>
    <row r="159" spans="4:8">
      <c r="D159" s="30"/>
      <c r="E159" s="30"/>
      <c r="F159" s="30"/>
      <c r="G159" s="30"/>
      <c r="H159" s="30"/>
    </row>
    <row r="160" spans="4:8">
      <c r="D160" s="30"/>
      <c r="E160" s="30"/>
      <c r="F160" s="30"/>
      <c r="G160" s="30"/>
      <c r="H160" s="30"/>
    </row>
    <row r="161" spans="4:8">
      <c r="D161" s="30"/>
      <c r="E161" s="30"/>
      <c r="F161" s="30"/>
      <c r="G161" s="30"/>
      <c r="H161" s="30"/>
    </row>
    <row r="162" spans="4:8">
      <c r="D162" s="30"/>
      <c r="E162" s="30"/>
      <c r="F162" s="30"/>
      <c r="G162" s="30"/>
      <c r="H162" s="30"/>
    </row>
    <row r="163" spans="4:8">
      <c r="D163" s="30"/>
      <c r="E163" s="30"/>
      <c r="F163" s="30"/>
      <c r="G163" s="30"/>
      <c r="H163" s="30"/>
    </row>
    <row r="164" spans="4:8">
      <c r="D164" s="30"/>
      <c r="E164" s="30"/>
      <c r="F164" s="30"/>
      <c r="G164" s="30"/>
      <c r="H164" s="30"/>
    </row>
    <row r="165" spans="4:8">
      <c r="D165" s="30"/>
      <c r="E165" s="30"/>
      <c r="F165" s="30"/>
      <c r="G165" s="30"/>
      <c r="H165" s="30"/>
    </row>
    <row r="166" spans="4:8">
      <c r="D166" s="30"/>
      <c r="E166" s="30"/>
      <c r="F166" s="30"/>
      <c r="G166" s="30"/>
      <c r="H166" s="30"/>
    </row>
    <row r="167" spans="4:8">
      <c r="D167" s="30"/>
      <c r="E167" s="30"/>
      <c r="F167" s="30"/>
      <c r="G167" s="30"/>
      <c r="H167" s="30"/>
    </row>
    <row r="168" spans="4:8">
      <c r="D168" s="30"/>
      <c r="E168" s="30"/>
      <c r="F168" s="30"/>
      <c r="G168" s="30"/>
      <c r="H168" s="30"/>
    </row>
    <row r="169" spans="4:8">
      <c r="D169" s="30"/>
      <c r="E169" s="30"/>
      <c r="F169" s="30"/>
      <c r="G169" s="30"/>
      <c r="H169" s="30"/>
    </row>
    <row r="170" spans="4:8">
      <c r="D170" s="30"/>
      <c r="E170" s="30"/>
      <c r="F170" s="30"/>
      <c r="G170" s="30"/>
      <c r="H170" s="30"/>
    </row>
    <row r="171" spans="4:8">
      <c r="D171" s="30"/>
      <c r="E171" s="30"/>
      <c r="F171" s="30"/>
      <c r="G171" s="30"/>
      <c r="H171" s="30"/>
    </row>
    <row r="172" spans="4:8">
      <c r="D172" s="30"/>
      <c r="E172" s="30"/>
      <c r="F172" s="30"/>
      <c r="G172" s="30"/>
      <c r="H172" s="30"/>
    </row>
    <row r="173" spans="4:8">
      <c r="D173" s="30"/>
      <c r="E173" s="30"/>
      <c r="F173" s="30"/>
      <c r="G173" s="30"/>
      <c r="H173" s="30"/>
    </row>
    <row r="174" spans="4:8">
      <c r="D174" s="30"/>
      <c r="E174" s="30"/>
      <c r="F174" s="30"/>
      <c r="G174" s="30"/>
      <c r="H174" s="30"/>
    </row>
    <row r="175" spans="4:8">
      <c r="D175" s="30"/>
      <c r="E175" s="30"/>
      <c r="F175" s="30"/>
      <c r="G175" s="30"/>
      <c r="H175" s="30"/>
    </row>
    <row r="176" spans="4:8">
      <c r="D176" s="30"/>
      <c r="E176" s="30"/>
      <c r="F176" s="30"/>
      <c r="G176" s="30"/>
      <c r="H176" s="30"/>
    </row>
    <row r="177" spans="4:8">
      <c r="D177" s="30"/>
      <c r="E177" s="30"/>
      <c r="F177" s="30"/>
      <c r="G177" s="30"/>
      <c r="H177" s="30"/>
    </row>
    <row r="178" spans="4:8">
      <c r="D178" s="30"/>
      <c r="E178" s="30"/>
      <c r="F178" s="30"/>
      <c r="G178" s="30"/>
      <c r="H178" s="30"/>
    </row>
    <row r="179" spans="4:8">
      <c r="D179" s="30"/>
      <c r="E179" s="30"/>
      <c r="F179" s="30"/>
      <c r="G179" s="30"/>
      <c r="H179" s="30"/>
    </row>
    <row r="180" spans="4:8">
      <c r="D180" s="30"/>
      <c r="E180" s="30"/>
      <c r="F180" s="30"/>
      <c r="G180" s="30"/>
      <c r="H180" s="30"/>
    </row>
    <row r="181" spans="4:8">
      <c r="D181" s="30"/>
      <c r="E181" s="30"/>
      <c r="F181" s="30"/>
      <c r="G181" s="30"/>
      <c r="H181" s="30"/>
    </row>
    <row r="182" spans="4:8">
      <c r="D182" s="30"/>
      <c r="E182" s="30"/>
      <c r="F182" s="30"/>
      <c r="G182" s="30"/>
      <c r="H182" s="30"/>
    </row>
    <row r="183" spans="4:8">
      <c r="D183" s="30"/>
      <c r="E183" s="30"/>
      <c r="F183" s="30"/>
      <c r="G183" s="30"/>
      <c r="H183" s="30"/>
    </row>
    <row r="184" spans="4:8">
      <c r="D184" s="30"/>
      <c r="E184" s="30"/>
      <c r="F184" s="30"/>
      <c r="G184" s="30"/>
      <c r="H184" s="30"/>
    </row>
    <row r="185" spans="4:8">
      <c r="D185" s="30"/>
      <c r="E185" s="30"/>
      <c r="F185" s="30"/>
      <c r="G185" s="30"/>
      <c r="H185" s="30"/>
    </row>
    <row r="186" spans="4:8">
      <c r="D186" s="30"/>
      <c r="E186" s="30"/>
      <c r="F186" s="30"/>
      <c r="G186" s="30"/>
      <c r="H186" s="30"/>
    </row>
    <row r="187" spans="4:8">
      <c r="D187" s="30"/>
      <c r="E187" s="30"/>
      <c r="F187" s="30"/>
      <c r="G187" s="30"/>
      <c r="H187" s="30"/>
    </row>
    <row r="188" spans="4:8">
      <c r="D188" s="30"/>
      <c r="E188" s="30"/>
      <c r="F188" s="30"/>
      <c r="G188" s="30"/>
      <c r="H188" s="30"/>
    </row>
    <row r="189" spans="4:8">
      <c r="D189" s="30"/>
      <c r="E189" s="30"/>
      <c r="F189" s="30"/>
      <c r="G189" s="30"/>
      <c r="H189" s="30"/>
    </row>
    <row r="190" spans="4:8">
      <c r="D190" s="30"/>
      <c r="E190" s="30"/>
      <c r="F190" s="30"/>
      <c r="G190" s="30"/>
      <c r="H190" s="30"/>
    </row>
    <row r="191" spans="4:8">
      <c r="D191" s="30"/>
      <c r="E191" s="30"/>
      <c r="F191" s="30"/>
      <c r="G191" s="30"/>
      <c r="H191" s="30"/>
    </row>
    <row r="192" spans="4:8">
      <c r="D192" s="30"/>
      <c r="E192" s="30"/>
      <c r="F192" s="30"/>
      <c r="G192" s="30"/>
      <c r="H192" s="30"/>
    </row>
    <row r="193" spans="4:8">
      <c r="D193" s="30"/>
      <c r="E193" s="30"/>
      <c r="F193" s="30"/>
      <c r="G193" s="30"/>
      <c r="H193" s="30"/>
    </row>
    <row r="194" spans="4:8">
      <c r="D194" s="30"/>
      <c r="E194" s="30"/>
      <c r="F194" s="30"/>
      <c r="G194" s="30"/>
      <c r="H194" s="30"/>
    </row>
    <row r="195" spans="4:8">
      <c r="D195" s="30"/>
      <c r="E195" s="30"/>
      <c r="F195" s="30"/>
      <c r="G195" s="30"/>
      <c r="H195" s="30"/>
    </row>
    <row r="196" spans="4:8">
      <c r="D196" s="30"/>
      <c r="E196" s="30"/>
      <c r="F196" s="30"/>
      <c r="G196" s="30"/>
      <c r="H196" s="30"/>
    </row>
    <row r="197" spans="4:8">
      <c r="D197" s="30"/>
      <c r="E197" s="30"/>
      <c r="F197" s="30"/>
      <c r="G197" s="30"/>
      <c r="H197" s="30"/>
    </row>
    <row r="198" spans="4:8">
      <c r="D198" s="30"/>
      <c r="E198" s="30"/>
      <c r="F198" s="30"/>
      <c r="G198" s="30"/>
      <c r="H198" s="30"/>
    </row>
    <row r="199" spans="4:8">
      <c r="D199" s="30"/>
      <c r="E199" s="30"/>
      <c r="F199" s="30"/>
      <c r="G199" s="30"/>
      <c r="H199" s="30"/>
    </row>
    <row r="200" spans="4:8">
      <c r="D200" s="30"/>
      <c r="E200" s="30"/>
      <c r="F200" s="30"/>
      <c r="G200" s="30"/>
      <c r="H200" s="30"/>
    </row>
    <row r="201" spans="4:8">
      <c r="D201" s="30"/>
      <c r="E201" s="30"/>
      <c r="F201" s="30"/>
      <c r="G201" s="30"/>
      <c r="H201" s="30"/>
    </row>
    <row r="202" spans="4:8">
      <c r="D202" s="30"/>
      <c r="E202" s="30"/>
      <c r="F202" s="30"/>
      <c r="G202" s="30"/>
      <c r="H202" s="30"/>
    </row>
    <row r="203" spans="4:8">
      <c r="D203" s="30"/>
      <c r="E203" s="30"/>
      <c r="F203" s="30"/>
      <c r="G203" s="30"/>
      <c r="H203" s="30"/>
    </row>
    <row r="204" spans="4:8">
      <c r="D204" s="30"/>
      <c r="E204" s="30"/>
      <c r="F204" s="30"/>
      <c r="G204" s="30"/>
      <c r="H204" s="30"/>
    </row>
    <row r="205" spans="4:8">
      <c r="D205" s="30"/>
      <c r="E205" s="30"/>
      <c r="F205" s="30"/>
      <c r="G205" s="30"/>
      <c r="H205" s="30"/>
    </row>
    <row r="206" spans="4:8">
      <c r="D206" s="30"/>
      <c r="E206" s="30"/>
      <c r="F206" s="30"/>
      <c r="G206" s="30"/>
      <c r="H206" s="30"/>
    </row>
    <row r="207" spans="4:8">
      <c r="D207" s="30"/>
      <c r="E207" s="30"/>
      <c r="F207" s="30"/>
      <c r="G207" s="30"/>
      <c r="H207" s="30"/>
    </row>
    <row r="208" spans="4:8">
      <c r="D208" s="30"/>
      <c r="E208" s="30"/>
      <c r="F208" s="30"/>
      <c r="G208" s="30"/>
      <c r="H208" s="30"/>
    </row>
    <row r="209" spans="4:8">
      <c r="D209" s="30"/>
      <c r="E209" s="30"/>
      <c r="F209" s="30"/>
      <c r="G209" s="30"/>
      <c r="H209" s="30"/>
    </row>
    <row r="210" spans="4:8">
      <c r="D210" s="30"/>
      <c r="E210" s="30"/>
      <c r="F210" s="30"/>
      <c r="G210" s="30"/>
      <c r="H210" s="30"/>
    </row>
    <row r="211" spans="4:8">
      <c r="D211" s="30"/>
      <c r="E211" s="30"/>
      <c r="F211" s="30"/>
      <c r="G211" s="30"/>
      <c r="H211" s="30"/>
    </row>
    <row r="212" spans="4:8">
      <c r="D212" s="30"/>
      <c r="E212" s="30"/>
      <c r="F212" s="30"/>
      <c r="G212" s="30"/>
      <c r="H212" s="30"/>
    </row>
    <row r="213" spans="4:8">
      <c r="D213" s="30"/>
      <c r="E213" s="30"/>
      <c r="F213" s="30"/>
      <c r="G213" s="30"/>
      <c r="H213" s="30"/>
    </row>
    <row r="214" spans="4:8">
      <c r="D214" s="30"/>
      <c r="E214" s="30"/>
      <c r="F214" s="30"/>
      <c r="G214" s="30"/>
      <c r="H214" s="30"/>
    </row>
  </sheetData>
  <pageMargins left="0" right="0" top="0" bottom="0" header="0" footer="0"/>
  <pageSetup paperSize="9" scale="75"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E4A26FC6-BCB1-FA45-BA51-6A36C2266B0C}">
            <xm:f>'2. Notes and Assumptions'!$D$92="ERROR"</xm:f>
            <x14:dxf>
              <font>
                <color theme="0"/>
              </font>
              <fill>
                <patternFill patternType="solid">
                  <fgColor indexed="64"/>
                  <bgColor rgb="FFFF0000"/>
                </patternFill>
              </fill>
            </x14:dxf>
          </x14:cfRule>
          <x14:cfRule type="expression" priority="2" id="{F5AC5FCF-C412-3B4F-B0CB-12C8856F8995}">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sheetPr codeName="Sheet28"/>
  <dimension ref="A1:H1188"/>
  <sheetViews>
    <sheetView zoomScaleNormal="100" workbookViewId="0">
      <pane ySplit="4" topLeftCell="A5" activePane="bottomLeft" state="frozen"/>
      <selection activeCell="A58" sqref="A58"/>
      <selection pane="bottomLeft" activeCell="B1188" sqref="B1188"/>
    </sheetView>
  </sheetViews>
  <sheetFormatPr defaultColWidth="10.6640625" defaultRowHeight="15"/>
  <cols>
    <col min="1" max="1" width="30.77734375" style="35" customWidth="1"/>
    <col min="2" max="2" width="41.88671875" style="2" customWidth="1"/>
    <col min="3" max="3" width="9.109375" style="2" customWidth="1"/>
    <col min="4" max="4" width="10.109375" style="2" customWidth="1"/>
    <col min="5" max="5" width="11.33203125" style="2" customWidth="1"/>
    <col min="6" max="6" width="11.5546875" style="2" customWidth="1"/>
    <col min="7" max="7" width="11.21875" style="2" customWidth="1"/>
    <col min="8" max="8" width="12.6640625" style="2" customWidth="1"/>
    <col min="9" max="16384" width="10.6640625" style="2"/>
  </cols>
  <sheetData>
    <row r="1" spans="1:8" s="6" customFormat="1" ht="18.75" customHeight="1">
      <c r="A1" s="92" t="s">
        <v>115</v>
      </c>
      <c r="B1" s="92"/>
      <c r="C1" s="92"/>
      <c r="D1" s="92"/>
      <c r="E1" s="92"/>
      <c r="F1" s="92"/>
      <c r="G1" s="92"/>
    </row>
    <row r="2" spans="1:8" ht="18" customHeight="1">
      <c r="A2" s="3" t="str">
        <f ca="1">MID(CELL("filename",A1),FIND("]",CELL("filename",A1))+1,LEN(CELL("filename",A1))-FIND("]",CELL("filename",A1)))</f>
        <v>21. Sewer - Capex RAB</v>
      </c>
      <c r="B2" s="3"/>
      <c r="C2" s="3"/>
      <c r="D2" s="3"/>
      <c r="E2" s="3"/>
      <c r="F2" s="3"/>
      <c r="G2" s="3"/>
    </row>
    <row r="3" spans="1:8" s="6" customFormat="1">
      <c r="A3" s="35"/>
      <c r="B3" s="63"/>
      <c r="C3" s="16" t="s">
        <v>0</v>
      </c>
      <c r="D3" s="17">
        <v>1</v>
      </c>
      <c r="E3" s="17">
        <v>2</v>
      </c>
      <c r="F3" s="17">
        <v>3</v>
      </c>
      <c r="G3" s="17">
        <v>4</v>
      </c>
      <c r="H3" s="17">
        <v>5</v>
      </c>
    </row>
    <row r="4" spans="1:8" s="6" customFormat="1">
      <c r="A4" s="35"/>
      <c r="B4" s="65"/>
      <c r="C4" s="18" t="s">
        <v>1</v>
      </c>
      <c r="D4" s="19" t="s">
        <v>10</v>
      </c>
      <c r="E4" s="19" t="s">
        <v>11</v>
      </c>
      <c r="F4" s="19" t="s">
        <v>2</v>
      </c>
      <c r="G4" s="19" t="s">
        <v>3</v>
      </c>
      <c r="H4" s="19" t="s">
        <v>4</v>
      </c>
    </row>
    <row r="5" spans="1:8" ht="15.75">
      <c r="B5" s="10" t="s">
        <v>19</v>
      </c>
    </row>
    <row r="6" spans="1:8">
      <c r="B6" s="2" t="s">
        <v>20</v>
      </c>
      <c r="D6" s="67">
        <f ca="1">'3. General Model Inputs'!E8</f>
        <v>2.5000000000000001E-2</v>
      </c>
      <c r="E6" s="67">
        <f ca="1">'3. General Model Inputs'!F8</f>
        <v>2.5000000000000001E-2</v>
      </c>
      <c r="F6" s="67">
        <f ca="1">'3. General Model Inputs'!G8</f>
        <v>2.5000000000000001E-2</v>
      </c>
      <c r="G6" s="67">
        <f ca="1">'3. General Model Inputs'!H8</f>
        <v>2.5000000000000001E-2</v>
      </c>
      <c r="H6" s="67">
        <f ca="1">'3. General Model Inputs'!I8</f>
        <v>2.5000000000000001E-2</v>
      </c>
    </row>
    <row r="8" spans="1:8" ht="15.75">
      <c r="B8" s="10" t="s">
        <v>140</v>
      </c>
    </row>
    <row r="9" spans="1:8">
      <c r="B9" s="6" t="s">
        <v>117</v>
      </c>
      <c r="D9" s="46">
        <f>D353</f>
        <v>0</v>
      </c>
      <c r="E9" s="46">
        <f t="shared" ref="E9:H9" ca="1" si="0">E353</f>
        <v>18001020.536732819</v>
      </c>
      <c r="F9" s="46">
        <f t="shared" ca="1" si="0"/>
        <v>54744218.124417491</v>
      </c>
      <c r="G9" s="46">
        <f t="shared" ca="1" si="0"/>
        <v>119409971.46726504</v>
      </c>
      <c r="H9" s="46">
        <f t="shared" ca="1" si="0"/>
        <v>227770231.10790551</v>
      </c>
    </row>
    <row r="10" spans="1:8">
      <c r="B10" s="6" t="s">
        <v>27</v>
      </c>
      <c r="D10" s="46">
        <f>D520</f>
        <v>0</v>
      </c>
      <c r="E10" s="46">
        <f t="shared" ref="E10:H10" si="1">E520</f>
        <v>0</v>
      </c>
      <c r="F10" s="46">
        <f t="shared" si="1"/>
        <v>0</v>
      </c>
      <c r="G10" s="46">
        <f t="shared" si="1"/>
        <v>0</v>
      </c>
      <c r="H10" s="46">
        <f t="shared" si="1"/>
        <v>0</v>
      </c>
    </row>
    <row r="11" spans="1:8">
      <c r="B11" s="6" t="s">
        <v>18</v>
      </c>
      <c r="D11" s="46">
        <f>D687</f>
        <v>18109193.155000001</v>
      </c>
      <c r="E11" s="46">
        <f t="shared" ref="E11:H11" si="2">E687</f>
        <v>38228808.72733333</v>
      </c>
      <c r="F11" s="46">
        <f t="shared" si="2"/>
        <v>65574843.814870872</v>
      </c>
      <c r="G11" s="46">
        <f t="shared" si="2"/>
        <v>109864792.71068065</v>
      </c>
      <c r="H11" s="46">
        <f t="shared" si="2"/>
        <v>70187218.442713186</v>
      </c>
    </row>
    <row r="12" spans="1:8">
      <c r="B12" s="6" t="s">
        <v>12</v>
      </c>
      <c r="D12" s="46">
        <f ca="1">D854</f>
        <v>226364.91443749997</v>
      </c>
      <c r="E12" s="46">
        <f t="shared" ref="E12:H12" ca="1" si="3">E854</f>
        <v>927885.62250998674</v>
      </c>
      <c r="F12" s="46">
        <f t="shared" ca="1" si="3"/>
        <v>2188291.0007963227</v>
      </c>
      <c r="G12" s="46">
        <f t="shared" ca="1" si="3"/>
        <v>4358559.1955651315</v>
      </c>
      <c r="H12" s="46">
        <f t="shared" ca="1" si="3"/>
        <v>6571596.0082315588</v>
      </c>
    </row>
    <row r="13" spans="1:8">
      <c r="B13" s="6" t="s">
        <v>13</v>
      </c>
      <c r="D13" s="46">
        <f ca="1">D1021</f>
        <v>-334537.5327046875</v>
      </c>
      <c r="E13" s="46">
        <f t="shared" ref="E13:H13" ca="1" si="4">E1021</f>
        <v>-2413496.7621586686</v>
      </c>
      <c r="F13" s="46">
        <f t="shared" ca="1" si="4"/>
        <v>-3097381.4728196645</v>
      </c>
      <c r="G13" s="46">
        <f t="shared" ca="1" si="4"/>
        <v>-5863092.2656049989</v>
      </c>
      <c r="H13" s="46">
        <f t="shared" ca="1" si="4"/>
        <v>-8939492.2585591599</v>
      </c>
    </row>
    <row r="14" spans="1:8">
      <c r="B14" s="6" t="s">
        <v>118</v>
      </c>
      <c r="D14" s="30">
        <f ca="1">D1188</f>
        <v>18001020.536732819</v>
      </c>
      <c r="E14" s="30">
        <f t="shared" ref="E14:H14" ca="1" si="5">E1188</f>
        <v>54744218.124417491</v>
      </c>
      <c r="F14" s="30">
        <f t="shared" ca="1" si="5"/>
        <v>119409971.46726504</v>
      </c>
      <c r="G14" s="30">
        <f t="shared" ca="1" si="5"/>
        <v>227770231.10790551</v>
      </c>
      <c r="H14" s="30">
        <f t="shared" ca="1" si="5"/>
        <v>295589553.3002913</v>
      </c>
    </row>
    <row r="15" spans="1:8">
      <c r="D15" s="30"/>
      <c r="E15" s="30"/>
      <c r="F15" s="30"/>
      <c r="G15" s="30"/>
      <c r="H15" s="30"/>
    </row>
    <row r="16" spans="1:8" ht="15.75">
      <c r="B16" s="10" t="s">
        <v>122</v>
      </c>
      <c r="D16" s="30">
        <f>D9+0.5*D11</f>
        <v>9054596.5775000006</v>
      </c>
      <c r="E16" s="30">
        <f t="shared" ref="E16:H16" ca="1" si="6">E9+0.5*E11</f>
        <v>37115424.900399484</v>
      </c>
      <c r="F16" s="30">
        <f t="shared" ca="1" si="6"/>
        <v>87531640.031852931</v>
      </c>
      <c r="G16" s="30">
        <f t="shared" ca="1" si="6"/>
        <v>174342367.82260537</v>
      </c>
      <c r="H16" s="30">
        <f t="shared" ca="1" si="6"/>
        <v>262863840.32926211</v>
      </c>
    </row>
    <row r="17" spans="2:8">
      <c r="D17" s="30"/>
      <c r="E17" s="30"/>
      <c r="F17" s="30"/>
      <c r="G17" s="30"/>
      <c r="H17" s="30"/>
    </row>
    <row r="18" spans="2:8">
      <c r="B18" s="69" t="s">
        <v>133</v>
      </c>
      <c r="C18" s="12"/>
      <c r="D18" s="13">
        <f ca="1">SUM(D9:D13)-D14</f>
        <v>0</v>
      </c>
      <c r="E18" s="13">
        <f ca="1">SUM(E9:E13)-E14</f>
        <v>0</v>
      </c>
      <c r="F18" s="13">
        <f ca="1">SUM(F9:F13)-F14</f>
        <v>0</v>
      </c>
      <c r="G18" s="13">
        <f ca="1">SUM(G9:G13)-G14</f>
        <v>2.9802322387695313E-7</v>
      </c>
      <c r="H18" s="13">
        <f ca="1">SUM(H9:H13)-H14</f>
        <v>0</v>
      </c>
    </row>
    <row r="19" spans="2:8">
      <c r="B19" s="12" t="s">
        <v>135</v>
      </c>
      <c r="C19" s="12"/>
      <c r="D19" s="12"/>
      <c r="E19" s="12"/>
      <c r="F19" s="12"/>
      <c r="G19" s="12"/>
      <c r="H19" s="13">
        <f>SUM(D11:H11)-SUM('19. Sewer - Capex Input'!J4:J166)</f>
        <v>0</v>
      </c>
    </row>
    <row r="20" spans="2:8">
      <c r="B20" s="68"/>
    </row>
    <row r="21" spans="2:8" ht="15.75">
      <c r="B21" s="10" t="s">
        <v>141</v>
      </c>
    </row>
    <row r="22" spans="2:8" ht="15.75">
      <c r="B22" s="10" t="s">
        <v>48</v>
      </c>
    </row>
    <row r="23" spans="2:8">
      <c r="B23" s="152">
        <f>'19. Sewer - Capex Input'!F4</f>
        <v>0</v>
      </c>
      <c r="D23" s="30">
        <f>IF('19. Sewer - Capex Input'!$I4=D$3,'19. Sewer - Capex Input'!$G4,IF(C23&gt;1,C23-1,0))</f>
        <v>60</v>
      </c>
      <c r="E23" s="30">
        <f>IF('19. Sewer - Capex Input'!$I4=E$3,'19. Sewer - Capex Input'!$G4,IF(D23&gt;1,D23-1,0))</f>
        <v>59</v>
      </c>
      <c r="F23" s="30">
        <f>IF('19. Sewer - Capex Input'!$I4=F$3,'19. Sewer - Capex Input'!$G4,IF(E23&gt;1,E23-1,0))</f>
        <v>58</v>
      </c>
      <c r="G23" s="30">
        <f>IF('19. Sewer - Capex Input'!$I4=G$3,'19. Sewer - Capex Input'!$G4,IF(F23&gt;1,F23-1,0))</f>
        <v>57</v>
      </c>
      <c r="H23" s="30">
        <f>IF('19. Sewer - Capex Input'!$I4=H$3,'19. Sewer - Capex Input'!$G4,IF(G23&gt;1,G23-1,0))</f>
        <v>56</v>
      </c>
    </row>
    <row r="24" spans="2:8">
      <c r="B24" s="152">
        <f>'19. Sewer - Capex Input'!F5</f>
        <v>0</v>
      </c>
      <c r="D24" s="30">
        <f>IF('19. Sewer - Capex Input'!$I5=D$3,'19. Sewer - Capex Input'!$G5,IF(C24&gt;1,C24-1,0))</f>
        <v>0</v>
      </c>
      <c r="E24" s="30">
        <f>IF('19. Sewer - Capex Input'!$I5=E$3,'19. Sewer - Capex Input'!$G5,IF(D24&gt;1,D24-1,0))</f>
        <v>60</v>
      </c>
      <c r="F24" s="30">
        <f>IF('19. Sewer - Capex Input'!$I5=F$3,'19. Sewer - Capex Input'!$G5,IF(E24&gt;1,E24-1,0))</f>
        <v>59</v>
      </c>
      <c r="G24" s="30">
        <f>IF('19. Sewer - Capex Input'!$I5=G$3,'19. Sewer - Capex Input'!$G5,IF(F24&gt;1,F24-1,0))</f>
        <v>58</v>
      </c>
      <c r="H24" s="30">
        <f>IF('19. Sewer - Capex Input'!$I5=H$3,'19. Sewer - Capex Input'!$G5,IF(G24&gt;1,G24-1,0))</f>
        <v>57</v>
      </c>
    </row>
    <row r="25" spans="2:8">
      <c r="B25" s="152">
        <f>'19. Sewer - Capex Input'!F6</f>
        <v>0</v>
      </c>
      <c r="D25" s="30">
        <f>IF('19. Sewer - Capex Input'!$I6=D$3,'19. Sewer - Capex Input'!$G6,IF(C25&gt;1,C25-1,0))</f>
        <v>0</v>
      </c>
      <c r="E25" s="30">
        <f>IF('19. Sewer - Capex Input'!$I6=E$3,'19. Sewer - Capex Input'!$G6,IF(D25&gt;1,D25-1,0))</f>
        <v>0</v>
      </c>
      <c r="F25" s="30">
        <f>IF('19. Sewer - Capex Input'!$I6=F$3,'19. Sewer - Capex Input'!$G6,IF(E25&gt;1,E25-1,0))</f>
        <v>60</v>
      </c>
      <c r="G25" s="30">
        <f>IF('19. Sewer - Capex Input'!$I6=G$3,'19. Sewer - Capex Input'!$G6,IF(F25&gt;1,F25-1,0))</f>
        <v>59</v>
      </c>
      <c r="H25" s="30">
        <f>IF('19. Sewer - Capex Input'!$I6=H$3,'19. Sewer - Capex Input'!$G6,IF(G25&gt;1,G25-1,0))</f>
        <v>58</v>
      </c>
    </row>
    <row r="26" spans="2:8">
      <c r="B26" s="152">
        <f>'19. Sewer - Capex Input'!F7</f>
        <v>0</v>
      </c>
      <c r="D26" s="30">
        <f>IF('19. Sewer - Capex Input'!$I7=D$3,'19. Sewer - Capex Input'!$G7,IF(C26&gt;1,C26-1,0))</f>
        <v>15</v>
      </c>
      <c r="E26" s="30">
        <f>IF('19. Sewer - Capex Input'!$I7=E$3,'19. Sewer - Capex Input'!$G7,IF(D26&gt;1,D26-1,0))</f>
        <v>14</v>
      </c>
      <c r="F26" s="30">
        <f>IF('19. Sewer - Capex Input'!$I7=F$3,'19. Sewer - Capex Input'!$G7,IF(E26&gt;1,E26-1,0))</f>
        <v>13</v>
      </c>
      <c r="G26" s="30">
        <f>IF('19. Sewer - Capex Input'!$I7=G$3,'19. Sewer - Capex Input'!$G7,IF(F26&gt;1,F26-1,0))</f>
        <v>12</v>
      </c>
      <c r="H26" s="30">
        <f>IF('19. Sewer - Capex Input'!$I7=H$3,'19. Sewer - Capex Input'!$G7,IF(G26&gt;1,G26-1,0))</f>
        <v>11</v>
      </c>
    </row>
    <row r="27" spans="2:8">
      <c r="B27" s="152">
        <f>'19. Sewer - Capex Input'!F8</f>
        <v>0</v>
      </c>
      <c r="D27" s="30">
        <f>IF('19. Sewer - Capex Input'!$I8=D$3,'19. Sewer - Capex Input'!$G8,IF(C27&gt;1,C27-1,0))</f>
        <v>0</v>
      </c>
      <c r="E27" s="30">
        <f>IF('19. Sewer - Capex Input'!$I8=E$3,'19. Sewer - Capex Input'!$G8,IF(D27&gt;1,D27-1,0))</f>
        <v>15</v>
      </c>
      <c r="F27" s="30">
        <f>IF('19. Sewer - Capex Input'!$I8=F$3,'19. Sewer - Capex Input'!$G8,IF(E27&gt;1,E27-1,0))</f>
        <v>14</v>
      </c>
      <c r="G27" s="30">
        <f>IF('19. Sewer - Capex Input'!$I8=G$3,'19. Sewer - Capex Input'!$G8,IF(F27&gt;1,F27-1,0))</f>
        <v>13</v>
      </c>
      <c r="H27" s="30">
        <f>IF('19. Sewer - Capex Input'!$I8=H$3,'19. Sewer - Capex Input'!$G8,IF(G27&gt;1,G27-1,0))</f>
        <v>12</v>
      </c>
    </row>
    <row r="28" spans="2:8">
      <c r="B28" s="152">
        <f>'19. Sewer - Capex Input'!F9</f>
        <v>0</v>
      </c>
      <c r="D28" s="30">
        <f>IF('19. Sewer - Capex Input'!$I9=D$3,'19. Sewer - Capex Input'!$G9,IF(C28&gt;1,C28-1,0))</f>
        <v>60</v>
      </c>
      <c r="E28" s="30">
        <f>IF('19. Sewer - Capex Input'!$I9=E$3,'19. Sewer - Capex Input'!$G9,IF(D28&gt;1,D28-1,0))</f>
        <v>59</v>
      </c>
      <c r="F28" s="30">
        <f>IF('19. Sewer - Capex Input'!$I9=F$3,'19. Sewer - Capex Input'!$G9,IF(E28&gt;1,E28-1,0))</f>
        <v>58</v>
      </c>
      <c r="G28" s="30">
        <f>IF('19. Sewer - Capex Input'!$I9=G$3,'19. Sewer - Capex Input'!$G9,IF(F28&gt;1,F28-1,0))</f>
        <v>57</v>
      </c>
      <c r="H28" s="30">
        <f>IF('19. Sewer - Capex Input'!$I9=H$3,'19. Sewer - Capex Input'!$G9,IF(G28&gt;1,G28-1,0))</f>
        <v>56</v>
      </c>
    </row>
    <row r="29" spans="2:8">
      <c r="B29" s="152">
        <f>'19. Sewer - Capex Input'!F10</f>
        <v>0</v>
      </c>
      <c r="D29" s="30">
        <f>IF('19. Sewer - Capex Input'!$I10=D$3,'19. Sewer - Capex Input'!$G10,IF(C29&gt;1,C29-1,0))</f>
        <v>0</v>
      </c>
      <c r="E29" s="30">
        <f>IF('19. Sewer - Capex Input'!$I10=E$3,'19. Sewer - Capex Input'!$G10,IF(D29&gt;1,D29-1,0))</f>
        <v>60</v>
      </c>
      <c r="F29" s="30">
        <f>IF('19. Sewer - Capex Input'!$I10=F$3,'19. Sewer - Capex Input'!$G10,IF(E29&gt;1,E29-1,0))</f>
        <v>59</v>
      </c>
      <c r="G29" s="30">
        <f>IF('19. Sewer - Capex Input'!$I10=G$3,'19. Sewer - Capex Input'!$G10,IF(F29&gt;1,F29-1,0))</f>
        <v>58</v>
      </c>
      <c r="H29" s="30">
        <f>IF('19. Sewer - Capex Input'!$I10=H$3,'19. Sewer - Capex Input'!$G10,IF(G29&gt;1,G29-1,0))</f>
        <v>57</v>
      </c>
    </row>
    <row r="30" spans="2:8">
      <c r="B30" s="152">
        <f>'19. Sewer - Capex Input'!F11</f>
        <v>0</v>
      </c>
      <c r="D30" s="30">
        <f>IF('19. Sewer - Capex Input'!$I11=D$3,'19. Sewer - Capex Input'!$G11,IF(C30&gt;1,C30-1,0))</f>
        <v>0</v>
      </c>
      <c r="E30" s="30">
        <f>IF('19. Sewer - Capex Input'!$I11=E$3,'19. Sewer - Capex Input'!$G11,IF(D30&gt;1,D30-1,0))</f>
        <v>0</v>
      </c>
      <c r="F30" s="30">
        <f>IF('19. Sewer - Capex Input'!$I11=F$3,'19. Sewer - Capex Input'!$G11,IF(E30&gt;1,E30-1,0))</f>
        <v>60</v>
      </c>
      <c r="G30" s="30">
        <f>IF('19. Sewer - Capex Input'!$I11=G$3,'19. Sewer - Capex Input'!$G11,IF(F30&gt;1,F30-1,0))</f>
        <v>59</v>
      </c>
      <c r="H30" s="30">
        <f>IF('19. Sewer - Capex Input'!$I11=H$3,'19. Sewer - Capex Input'!$G11,IF(G30&gt;1,G30-1,0))</f>
        <v>58</v>
      </c>
    </row>
    <row r="31" spans="2:8">
      <c r="B31" s="152">
        <f>'19. Sewer - Capex Input'!F12</f>
        <v>0</v>
      </c>
      <c r="D31" s="30">
        <f>IF('19. Sewer - Capex Input'!$I12=D$3,'19. Sewer - Capex Input'!$G12,IF(C31&gt;1,C31-1,0))</f>
        <v>30</v>
      </c>
      <c r="E31" s="30">
        <f>IF('19. Sewer - Capex Input'!$I12=E$3,'19. Sewer - Capex Input'!$G12,IF(D31&gt;1,D31-1,0))</f>
        <v>29</v>
      </c>
      <c r="F31" s="30">
        <f>IF('19. Sewer - Capex Input'!$I12=F$3,'19. Sewer - Capex Input'!$G12,IF(E31&gt;1,E31-1,0))</f>
        <v>28</v>
      </c>
      <c r="G31" s="30">
        <f>IF('19. Sewer - Capex Input'!$I12=G$3,'19. Sewer - Capex Input'!$G12,IF(F31&gt;1,F31-1,0))</f>
        <v>27</v>
      </c>
      <c r="H31" s="30">
        <f>IF('19. Sewer - Capex Input'!$I12=H$3,'19. Sewer - Capex Input'!$G12,IF(G31&gt;1,G31-1,0))</f>
        <v>26</v>
      </c>
    </row>
    <row r="32" spans="2:8">
      <c r="B32" s="152">
        <f>'19. Sewer - Capex Input'!F13</f>
        <v>0</v>
      </c>
      <c r="D32" s="30">
        <f>IF('19. Sewer - Capex Input'!$I13=D$3,'19. Sewer - Capex Input'!$G13,IF(C32&gt;1,C32-1,0))</f>
        <v>0</v>
      </c>
      <c r="E32" s="30">
        <f>IF('19. Sewer - Capex Input'!$I13=E$3,'19. Sewer - Capex Input'!$G13,IF(D32&gt;1,D32-1,0))</f>
        <v>30</v>
      </c>
      <c r="F32" s="30">
        <f>IF('19. Sewer - Capex Input'!$I13=F$3,'19. Sewer - Capex Input'!$G13,IF(E32&gt;1,E32-1,0))</f>
        <v>29</v>
      </c>
      <c r="G32" s="30">
        <f>IF('19. Sewer - Capex Input'!$I13=G$3,'19. Sewer - Capex Input'!$G13,IF(F32&gt;1,F32-1,0))</f>
        <v>28</v>
      </c>
      <c r="H32" s="30">
        <f>IF('19. Sewer - Capex Input'!$I13=H$3,'19. Sewer - Capex Input'!$G13,IF(G32&gt;1,G32-1,0))</f>
        <v>27</v>
      </c>
    </row>
    <row r="33" spans="2:8">
      <c r="B33" s="152">
        <f>'19. Sewer - Capex Input'!F14</f>
        <v>0</v>
      </c>
      <c r="D33" s="30">
        <f>IF('19. Sewer - Capex Input'!$I14=D$3,'19. Sewer - Capex Input'!$G14,IF(C33&gt;1,C33-1,0))</f>
        <v>0</v>
      </c>
      <c r="E33" s="30">
        <f>IF('19. Sewer - Capex Input'!$I14=E$3,'19. Sewer - Capex Input'!$G14,IF(D33&gt;1,D33-1,0))</f>
        <v>0</v>
      </c>
      <c r="F33" s="30">
        <f>IF('19. Sewer - Capex Input'!$I14=F$3,'19. Sewer - Capex Input'!$G14,IF(E33&gt;1,E33-1,0))</f>
        <v>30</v>
      </c>
      <c r="G33" s="30">
        <f>IF('19. Sewer - Capex Input'!$I14=G$3,'19. Sewer - Capex Input'!$G14,IF(F33&gt;1,F33-1,0))</f>
        <v>29</v>
      </c>
      <c r="H33" s="30">
        <f>IF('19. Sewer - Capex Input'!$I14=H$3,'19. Sewer - Capex Input'!$G14,IF(G33&gt;1,G33-1,0))</f>
        <v>28</v>
      </c>
    </row>
    <row r="34" spans="2:8">
      <c r="B34" s="152">
        <f>'19. Sewer - Capex Input'!F15</f>
        <v>0</v>
      </c>
      <c r="D34" s="30">
        <f>IF('19. Sewer - Capex Input'!$I15=D$3,'19. Sewer - Capex Input'!$G15,IF(C34&gt;1,C34-1,0))</f>
        <v>0</v>
      </c>
      <c r="E34" s="30">
        <f>IF('19. Sewer - Capex Input'!$I15=E$3,'19. Sewer - Capex Input'!$G15,IF(D34&gt;1,D34-1,0))</f>
        <v>0</v>
      </c>
      <c r="F34" s="30">
        <f>IF('19. Sewer - Capex Input'!$I15=F$3,'19. Sewer - Capex Input'!$G15,IF(E34&gt;1,E34-1,0))</f>
        <v>0</v>
      </c>
      <c r="G34" s="30">
        <f>IF('19. Sewer - Capex Input'!$I15=G$3,'19. Sewer - Capex Input'!$G15,IF(F34&gt;1,F34-1,0))</f>
        <v>30</v>
      </c>
      <c r="H34" s="30">
        <f>IF('19. Sewer - Capex Input'!$I15=H$3,'19. Sewer - Capex Input'!$G15,IF(G34&gt;1,G34-1,0))</f>
        <v>29</v>
      </c>
    </row>
    <row r="35" spans="2:8">
      <c r="B35" s="152">
        <f>'19. Sewer - Capex Input'!F16</f>
        <v>0</v>
      </c>
      <c r="D35" s="30">
        <f>IF('19. Sewer - Capex Input'!$I16=D$3,'19. Sewer - Capex Input'!$G16,IF(C35&gt;1,C35-1,0))</f>
        <v>0</v>
      </c>
      <c r="E35" s="30">
        <f>IF('19. Sewer - Capex Input'!$I16=E$3,'19. Sewer - Capex Input'!$G16,IF(D35&gt;1,D35-1,0))</f>
        <v>0</v>
      </c>
      <c r="F35" s="30">
        <f>IF('19. Sewer - Capex Input'!$I16=F$3,'19. Sewer - Capex Input'!$G16,IF(E35&gt;1,E35-1,0))</f>
        <v>0</v>
      </c>
      <c r="G35" s="30">
        <f>IF('19. Sewer - Capex Input'!$I16=G$3,'19. Sewer - Capex Input'!$G16,IF(F35&gt;1,F35-1,0))</f>
        <v>0</v>
      </c>
      <c r="H35" s="30">
        <f>IF('19. Sewer - Capex Input'!$I16=H$3,'19. Sewer - Capex Input'!$G16,IF(G35&gt;1,G35-1,0))</f>
        <v>30</v>
      </c>
    </row>
    <row r="36" spans="2:8">
      <c r="B36" s="152">
        <f>'19. Sewer - Capex Input'!F17</f>
        <v>0</v>
      </c>
      <c r="D36" s="30">
        <f>IF('19. Sewer - Capex Input'!$I17=D$3,'19. Sewer - Capex Input'!$G17,IF(C36&gt;1,C36-1,0))</f>
        <v>0</v>
      </c>
      <c r="E36" s="30">
        <f>IF('19. Sewer - Capex Input'!$I17=E$3,'19. Sewer - Capex Input'!$G17,IF(D36&gt;1,D36-1,0))</f>
        <v>30</v>
      </c>
      <c r="F36" s="30">
        <f>IF('19. Sewer - Capex Input'!$I17=F$3,'19. Sewer - Capex Input'!$G17,IF(E36&gt;1,E36-1,0))</f>
        <v>29</v>
      </c>
      <c r="G36" s="30">
        <f>IF('19. Sewer - Capex Input'!$I17=G$3,'19. Sewer - Capex Input'!$G17,IF(F36&gt;1,F36-1,0))</f>
        <v>28</v>
      </c>
      <c r="H36" s="30">
        <f>IF('19. Sewer - Capex Input'!$I17=H$3,'19. Sewer - Capex Input'!$G17,IF(G36&gt;1,G36-1,0))</f>
        <v>27</v>
      </c>
    </row>
    <row r="37" spans="2:8">
      <c r="B37" s="152">
        <f>'19. Sewer - Capex Input'!F18</f>
        <v>0</v>
      </c>
      <c r="D37" s="30">
        <f>IF('19. Sewer - Capex Input'!$I18=D$3,'19. Sewer - Capex Input'!$G18,IF(C37&gt;1,C37-1,0))</f>
        <v>0</v>
      </c>
      <c r="E37" s="30">
        <f>IF('19. Sewer - Capex Input'!$I18=E$3,'19. Sewer - Capex Input'!$G18,IF(D37&gt;1,D37-1,0))</f>
        <v>0</v>
      </c>
      <c r="F37" s="30">
        <f>IF('19. Sewer - Capex Input'!$I18=F$3,'19. Sewer - Capex Input'!$G18,IF(E37&gt;1,E37-1,0))</f>
        <v>30</v>
      </c>
      <c r="G37" s="30">
        <f>IF('19. Sewer - Capex Input'!$I18=G$3,'19. Sewer - Capex Input'!$G18,IF(F37&gt;1,F37-1,0))</f>
        <v>29</v>
      </c>
      <c r="H37" s="30">
        <f>IF('19. Sewer - Capex Input'!$I18=H$3,'19. Sewer - Capex Input'!$G18,IF(G37&gt;1,G37-1,0))</f>
        <v>28</v>
      </c>
    </row>
    <row r="38" spans="2:8">
      <c r="B38" s="152">
        <f>'19. Sewer - Capex Input'!F19</f>
        <v>0</v>
      </c>
      <c r="D38" s="30">
        <f>IF('19. Sewer - Capex Input'!$I19=D$3,'19. Sewer - Capex Input'!$G19,IF(C38&gt;1,C38-1,0))</f>
        <v>0</v>
      </c>
      <c r="E38" s="30">
        <f>IF('19. Sewer - Capex Input'!$I19=E$3,'19. Sewer - Capex Input'!$G19,IF(D38&gt;1,D38-1,0))</f>
        <v>0</v>
      </c>
      <c r="F38" s="30">
        <f>IF('19. Sewer - Capex Input'!$I19=F$3,'19. Sewer - Capex Input'!$G19,IF(E38&gt;1,E38-1,0))</f>
        <v>0</v>
      </c>
      <c r="G38" s="30">
        <f>IF('19. Sewer - Capex Input'!$I19=G$3,'19. Sewer - Capex Input'!$G19,IF(F38&gt;1,F38-1,0))</f>
        <v>30</v>
      </c>
      <c r="H38" s="30">
        <f>IF('19. Sewer - Capex Input'!$I19=H$3,'19. Sewer - Capex Input'!$G19,IF(G38&gt;1,G38-1,0))</f>
        <v>29</v>
      </c>
    </row>
    <row r="39" spans="2:8">
      <c r="B39" s="152">
        <f>'19. Sewer - Capex Input'!F20</f>
        <v>0</v>
      </c>
      <c r="D39" s="30">
        <f>IF('19. Sewer - Capex Input'!$I20=D$3,'19. Sewer - Capex Input'!$G20,IF(C39&gt;1,C39-1,0))</f>
        <v>0</v>
      </c>
      <c r="E39" s="30">
        <f>IF('19. Sewer - Capex Input'!$I20=E$3,'19. Sewer - Capex Input'!$G20,IF(D39&gt;1,D39-1,0))</f>
        <v>0</v>
      </c>
      <c r="F39" s="30">
        <f>IF('19. Sewer - Capex Input'!$I20=F$3,'19. Sewer - Capex Input'!$G20,IF(E39&gt;1,E39-1,0))</f>
        <v>0</v>
      </c>
      <c r="G39" s="30">
        <f>IF('19. Sewer - Capex Input'!$I20=G$3,'19. Sewer - Capex Input'!$G20,IF(F39&gt;1,F39-1,0))</f>
        <v>0</v>
      </c>
      <c r="H39" s="30">
        <f>IF('19. Sewer - Capex Input'!$I20=H$3,'19. Sewer - Capex Input'!$G20,IF(G39&gt;1,G39-1,0))</f>
        <v>30</v>
      </c>
    </row>
    <row r="40" spans="2:8">
      <c r="B40" s="152">
        <f>'19. Sewer - Capex Input'!F21</f>
        <v>0</v>
      </c>
      <c r="D40" s="30">
        <f>IF('19. Sewer - Capex Input'!$I21=D$3,'19. Sewer - Capex Input'!$G21,IF(C40&gt;1,C40-1,0))</f>
        <v>0</v>
      </c>
      <c r="E40" s="30">
        <f>IF('19. Sewer - Capex Input'!$I21=E$3,'19. Sewer - Capex Input'!$G21,IF(D40&gt;1,D40-1,0))</f>
        <v>80</v>
      </c>
      <c r="F40" s="30">
        <f>IF('19. Sewer - Capex Input'!$I21=F$3,'19. Sewer - Capex Input'!$G21,IF(E40&gt;1,E40-1,0))</f>
        <v>79</v>
      </c>
      <c r="G40" s="30">
        <f>IF('19. Sewer - Capex Input'!$I21=G$3,'19. Sewer - Capex Input'!$G21,IF(F40&gt;1,F40-1,0))</f>
        <v>78</v>
      </c>
      <c r="H40" s="30">
        <f>IF('19. Sewer - Capex Input'!$I21=H$3,'19. Sewer - Capex Input'!$G21,IF(G40&gt;1,G40-1,0))</f>
        <v>77</v>
      </c>
    </row>
    <row r="41" spans="2:8">
      <c r="B41" s="152">
        <f>'19. Sewer - Capex Input'!F22</f>
        <v>0</v>
      </c>
      <c r="D41" s="30">
        <f>IF('19. Sewer - Capex Input'!$I22=D$3,'19. Sewer - Capex Input'!$G22,IF(C41&gt;1,C41-1,0))</f>
        <v>0</v>
      </c>
      <c r="E41" s="30">
        <f>IF('19. Sewer - Capex Input'!$I22=E$3,'19. Sewer - Capex Input'!$G22,IF(D41&gt;1,D41-1,0))</f>
        <v>0</v>
      </c>
      <c r="F41" s="30">
        <f>IF('19. Sewer - Capex Input'!$I22=F$3,'19. Sewer - Capex Input'!$G22,IF(E41&gt;1,E41-1,0))</f>
        <v>80</v>
      </c>
      <c r="G41" s="30">
        <f>IF('19. Sewer - Capex Input'!$I22=G$3,'19. Sewer - Capex Input'!$G22,IF(F41&gt;1,F41-1,0))</f>
        <v>79</v>
      </c>
      <c r="H41" s="30">
        <f>IF('19. Sewer - Capex Input'!$I22=H$3,'19. Sewer - Capex Input'!$G22,IF(G41&gt;1,G41-1,0))</f>
        <v>78</v>
      </c>
    </row>
    <row r="42" spans="2:8">
      <c r="B42" s="152">
        <f>'19. Sewer - Capex Input'!F23</f>
        <v>0</v>
      </c>
      <c r="D42" s="30">
        <f>IF('19. Sewer - Capex Input'!$I23=D$3,'19. Sewer - Capex Input'!$G23,IF(C42&gt;1,C42-1,0))</f>
        <v>0</v>
      </c>
      <c r="E42" s="30">
        <f>IF('19. Sewer - Capex Input'!$I23=E$3,'19. Sewer - Capex Input'!$G23,IF(D42&gt;1,D42-1,0))</f>
        <v>0</v>
      </c>
      <c r="F42" s="30">
        <f>IF('19. Sewer - Capex Input'!$I23=F$3,'19. Sewer - Capex Input'!$G23,IF(E42&gt;1,E42-1,0))</f>
        <v>0</v>
      </c>
      <c r="G42" s="30">
        <f>IF('19. Sewer - Capex Input'!$I23=G$3,'19. Sewer - Capex Input'!$G23,IF(F42&gt;1,F42-1,0))</f>
        <v>80</v>
      </c>
      <c r="H42" s="30">
        <f>IF('19. Sewer - Capex Input'!$I23=H$3,'19. Sewer - Capex Input'!$G23,IF(G42&gt;1,G42-1,0))</f>
        <v>79</v>
      </c>
    </row>
    <row r="43" spans="2:8">
      <c r="B43" s="152">
        <f>'19. Sewer - Capex Input'!F24</f>
        <v>0</v>
      </c>
      <c r="D43" s="30">
        <f>IF('19. Sewer - Capex Input'!$I24=D$3,'19. Sewer - Capex Input'!$G24,IF(C43&gt;1,C43-1,0))</f>
        <v>0</v>
      </c>
      <c r="E43" s="30">
        <f>IF('19. Sewer - Capex Input'!$I24=E$3,'19. Sewer - Capex Input'!$G24,IF(D43&gt;1,D43-1,0))</f>
        <v>0</v>
      </c>
      <c r="F43" s="30">
        <f>IF('19. Sewer - Capex Input'!$I24=F$3,'19. Sewer - Capex Input'!$G24,IF(E43&gt;1,E43-1,0))</f>
        <v>0</v>
      </c>
      <c r="G43" s="30">
        <f>IF('19. Sewer - Capex Input'!$I24=G$3,'19. Sewer - Capex Input'!$G24,IF(F43&gt;1,F43-1,0))</f>
        <v>0</v>
      </c>
      <c r="H43" s="30">
        <f>IF('19. Sewer - Capex Input'!$I24=H$3,'19. Sewer - Capex Input'!$G24,IF(G43&gt;1,G43-1,0))</f>
        <v>80</v>
      </c>
    </row>
    <row r="44" spans="2:8">
      <c r="B44" s="152">
        <f>'19. Sewer - Capex Input'!F25</f>
        <v>0</v>
      </c>
      <c r="D44" s="30">
        <f>IF('19. Sewer - Capex Input'!$I25=D$3,'19. Sewer - Capex Input'!$G25,IF(C44&gt;1,C44-1,0))</f>
        <v>0</v>
      </c>
      <c r="E44" s="30">
        <f>IF('19. Sewer - Capex Input'!$I25=E$3,'19. Sewer - Capex Input'!$G25,IF(D44&gt;1,D44-1,0))</f>
        <v>30</v>
      </c>
      <c r="F44" s="30">
        <f>IF('19. Sewer - Capex Input'!$I25=F$3,'19. Sewer - Capex Input'!$G25,IF(E44&gt;1,E44-1,0))</f>
        <v>29</v>
      </c>
      <c r="G44" s="30">
        <f>IF('19. Sewer - Capex Input'!$I25=G$3,'19. Sewer - Capex Input'!$G25,IF(F44&gt;1,F44-1,0))</f>
        <v>28</v>
      </c>
      <c r="H44" s="30">
        <f>IF('19. Sewer - Capex Input'!$I25=H$3,'19. Sewer - Capex Input'!$G25,IF(G44&gt;1,G44-1,0))</f>
        <v>27</v>
      </c>
    </row>
    <row r="45" spans="2:8">
      <c r="B45" s="152">
        <f>'19. Sewer - Capex Input'!F26</f>
        <v>0</v>
      </c>
      <c r="D45" s="30">
        <f>IF('19. Sewer - Capex Input'!$I26=D$3,'19. Sewer - Capex Input'!$G26,IF(C45&gt;1,C45-1,0))</f>
        <v>0</v>
      </c>
      <c r="E45" s="30">
        <f>IF('19. Sewer - Capex Input'!$I26=E$3,'19. Sewer - Capex Input'!$G26,IF(D45&gt;1,D45-1,0))</f>
        <v>0</v>
      </c>
      <c r="F45" s="30">
        <f>IF('19. Sewer - Capex Input'!$I26=F$3,'19. Sewer - Capex Input'!$G26,IF(E45&gt;1,E45-1,0))</f>
        <v>30</v>
      </c>
      <c r="G45" s="30">
        <f>IF('19. Sewer - Capex Input'!$I26=G$3,'19. Sewer - Capex Input'!$G26,IF(F45&gt;1,F45-1,0))</f>
        <v>29</v>
      </c>
      <c r="H45" s="30">
        <f>IF('19. Sewer - Capex Input'!$I26=H$3,'19. Sewer - Capex Input'!$G26,IF(G45&gt;1,G45-1,0))</f>
        <v>28</v>
      </c>
    </row>
    <row r="46" spans="2:8">
      <c r="B46" s="152">
        <f>'19. Sewer - Capex Input'!F27</f>
        <v>0</v>
      </c>
      <c r="D46" s="30">
        <f>IF('19. Sewer - Capex Input'!$I27=D$3,'19. Sewer - Capex Input'!$G27,IF(C46&gt;1,C46-1,0))</f>
        <v>0</v>
      </c>
      <c r="E46" s="30">
        <f>IF('19. Sewer - Capex Input'!$I27=E$3,'19. Sewer - Capex Input'!$G27,IF(D46&gt;1,D46-1,0))</f>
        <v>0</v>
      </c>
      <c r="F46" s="30">
        <f>IF('19. Sewer - Capex Input'!$I27=F$3,'19. Sewer - Capex Input'!$G27,IF(E46&gt;1,E46-1,0))</f>
        <v>30</v>
      </c>
      <c r="G46" s="30">
        <f>IF('19. Sewer - Capex Input'!$I27=G$3,'19. Sewer - Capex Input'!$G27,IF(F46&gt;1,F46-1,0))</f>
        <v>29</v>
      </c>
      <c r="H46" s="30">
        <f>IF('19. Sewer - Capex Input'!$I27=H$3,'19. Sewer - Capex Input'!$G27,IF(G46&gt;1,G46-1,0))</f>
        <v>28</v>
      </c>
    </row>
    <row r="47" spans="2:8">
      <c r="B47" s="152">
        <f>'19. Sewer - Capex Input'!F28</f>
        <v>0</v>
      </c>
      <c r="D47" s="30">
        <f>IF('19. Sewer - Capex Input'!$I28=D$3,'19. Sewer - Capex Input'!$G28,IF(C47&gt;1,C47-1,0))</f>
        <v>0</v>
      </c>
      <c r="E47" s="30">
        <f>IF('19. Sewer - Capex Input'!$I28=E$3,'19. Sewer - Capex Input'!$G28,IF(D47&gt;1,D47-1,0))</f>
        <v>0</v>
      </c>
      <c r="F47" s="30">
        <f>IF('19. Sewer - Capex Input'!$I28=F$3,'19. Sewer - Capex Input'!$G28,IF(E47&gt;1,E47-1,0))</f>
        <v>0</v>
      </c>
      <c r="G47" s="30">
        <f>IF('19. Sewer - Capex Input'!$I28=G$3,'19. Sewer - Capex Input'!$G28,IF(F47&gt;1,F47-1,0))</f>
        <v>30</v>
      </c>
      <c r="H47" s="30">
        <f>IF('19. Sewer - Capex Input'!$I28=H$3,'19. Sewer - Capex Input'!$G28,IF(G47&gt;1,G47-1,0))</f>
        <v>29</v>
      </c>
    </row>
    <row r="48" spans="2:8">
      <c r="B48" s="152">
        <f>'19. Sewer - Capex Input'!F29</f>
        <v>0</v>
      </c>
      <c r="D48" s="30">
        <f>IF('19. Sewer - Capex Input'!$I29=D$3,'19. Sewer - Capex Input'!$G29,IF(C48&gt;1,C48-1,0))</f>
        <v>0</v>
      </c>
      <c r="E48" s="30">
        <f>IF('19. Sewer - Capex Input'!$I29=E$3,'19. Sewer - Capex Input'!$G29,IF(D48&gt;1,D48-1,0))</f>
        <v>0</v>
      </c>
      <c r="F48" s="30">
        <f>IF('19. Sewer - Capex Input'!$I29=F$3,'19. Sewer - Capex Input'!$G29,IF(E48&gt;1,E48-1,0))</f>
        <v>0</v>
      </c>
      <c r="G48" s="30">
        <f>IF('19. Sewer - Capex Input'!$I29=G$3,'19. Sewer - Capex Input'!$G29,IF(F48&gt;1,F48-1,0))</f>
        <v>0</v>
      </c>
      <c r="H48" s="30">
        <f>IF('19. Sewer - Capex Input'!$I29=H$3,'19. Sewer - Capex Input'!$G29,IF(G48&gt;1,G48-1,0))</f>
        <v>30</v>
      </c>
    </row>
    <row r="49" spans="2:8">
      <c r="B49" s="152">
        <f>'19. Sewer - Capex Input'!F30</f>
        <v>0</v>
      </c>
      <c r="D49" s="30">
        <f>IF('19. Sewer - Capex Input'!$I30=D$3,'19. Sewer - Capex Input'!$G30,IF(C49&gt;1,C49-1,0))</f>
        <v>0</v>
      </c>
      <c r="E49" s="30">
        <f>IF('19. Sewer - Capex Input'!$I30=E$3,'19. Sewer - Capex Input'!$G30,IF(D49&gt;1,D49-1,0))</f>
        <v>0</v>
      </c>
      <c r="F49" s="30">
        <f>IF('19. Sewer - Capex Input'!$I30=F$3,'19. Sewer - Capex Input'!$G30,IF(E49&gt;1,E49-1,0))</f>
        <v>20</v>
      </c>
      <c r="G49" s="30">
        <f>IF('19. Sewer - Capex Input'!$I30=G$3,'19. Sewer - Capex Input'!$G30,IF(F49&gt;1,F49-1,0))</f>
        <v>19</v>
      </c>
      <c r="H49" s="30">
        <f>IF('19. Sewer - Capex Input'!$I30=H$3,'19. Sewer - Capex Input'!$G30,IF(G49&gt;1,G49-1,0))</f>
        <v>18</v>
      </c>
    </row>
    <row r="50" spans="2:8">
      <c r="B50" s="152">
        <f>'19. Sewer - Capex Input'!F31</f>
        <v>0</v>
      </c>
      <c r="D50" s="30">
        <f>IF('19. Sewer - Capex Input'!$I31=D$3,'19. Sewer - Capex Input'!$G31,IF(C50&gt;1,C50-1,0))</f>
        <v>0</v>
      </c>
      <c r="E50" s="30">
        <f>IF('19. Sewer - Capex Input'!$I31=E$3,'19. Sewer - Capex Input'!$G31,IF(D50&gt;1,D50-1,0))</f>
        <v>0</v>
      </c>
      <c r="F50" s="30">
        <f>IF('19. Sewer - Capex Input'!$I31=F$3,'19. Sewer - Capex Input'!$G31,IF(E50&gt;1,E50-1,0))</f>
        <v>0</v>
      </c>
      <c r="G50" s="30">
        <f>IF('19. Sewer - Capex Input'!$I31=G$3,'19. Sewer - Capex Input'!$G31,IF(F50&gt;1,F50-1,0))</f>
        <v>20</v>
      </c>
      <c r="H50" s="30">
        <f>IF('19. Sewer - Capex Input'!$I31=H$3,'19. Sewer - Capex Input'!$G31,IF(G50&gt;1,G50-1,0))</f>
        <v>19</v>
      </c>
    </row>
    <row r="51" spans="2:8">
      <c r="B51" s="152">
        <f>'19. Sewer - Capex Input'!F32</f>
        <v>0</v>
      </c>
      <c r="D51" s="30">
        <f>IF('19. Sewer - Capex Input'!$I32=D$3,'19. Sewer - Capex Input'!$G32,IF(C51&gt;1,C51-1,0))</f>
        <v>0</v>
      </c>
      <c r="E51" s="30">
        <f>IF('19. Sewer - Capex Input'!$I32=E$3,'19. Sewer - Capex Input'!$G32,IF(D51&gt;1,D51-1,0))</f>
        <v>0</v>
      </c>
      <c r="F51" s="30">
        <f>IF('19. Sewer - Capex Input'!$I32=F$3,'19. Sewer - Capex Input'!$G32,IF(E51&gt;1,E51-1,0))</f>
        <v>0</v>
      </c>
      <c r="G51" s="30">
        <f>IF('19. Sewer - Capex Input'!$I32=G$3,'19. Sewer - Capex Input'!$G32,IF(F51&gt;1,F51-1,0))</f>
        <v>0</v>
      </c>
      <c r="H51" s="30">
        <f>IF('19. Sewer - Capex Input'!$I32=H$3,'19. Sewer - Capex Input'!$G32,IF(G51&gt;1,G51-1,0))</f>
        <v>20</v>
      </c>
    </row>
    <row r="52" spans="2:8">
      <c r="B52" s="152">
        <f>'19. Sewer - Capex Input'!F33</f>
        <v>0</v>
      </c>
      <c r="D52" s="30">
        <f>IF('19. Sewer - Capex Input'!$I33=D$3,'19. Sewer - Capex Input'!$G33,IF(C52&gt;1,C52-1,0))</f>
        <v>0</v>
      </c>
      <c r="E52" s="30">
        <f>IF('19. Sewer - Capex Input'!$I33=E$3,'19. Sewer - Capex Input'!$G33,IF(D52&gt;1,D52-1,0))</f>
        <v>0</v>
      </c>
      <c r="F52" s="30">
        <f>IF('19. Sewer - Capex Input'!$I33=F$3,'19. Sewer - Capex Input'!$G33,IF(E52&gt;1,E52-1,0))</f>
        <v>30</v>
      </c>
      <c r="G52" s="30">
        <f>IF('19. Sewer - Capex Input'!$I33=G$3,'19. Sewer - Capex Input'!$G33,IF(F52&gt;1,F52-1,0))</f>
        <v>29</v>
      </c>
      <c r="H52" s="30">
        <f>IF('19. Sewer - Capex Input'!$I33=H$3,'19. Sewer - Capex Input'!$G33,IF(G52&gt;1,G52-1,0))</f>
        <v>28</v>
      </c>
    </row>
    <row r="53" spans="2:8">
      <c r="B53" s="152">
        <f>'19. Sewer - Capex Input'!F34</f>
        <v>0</v>
      </c>
      <c r="D53" s="30">
        <f>IF('19. Sewer - Capex Input'!$I34=D$3,'19. Sewer - Capex Input'!$G34,IF(C53&gt;1,C53-1,0))</f>
        <v>0</v>
      </c>
      <c r="E53" s="30">
        <f>IF('19. Sewer - Capex Input'!$I34=E$3,'19. Sewer - Capex Input'!$G34,IF(D53&gt;1,D53-1,0))</f>
        <v>0</v>
      </c>
      <c r="F53" s="30">
        <f>IF('19. Sewer - Capex Input'!$I34=F$3,'19. Sewer - Capex Input'!$G34,IF(E53&gt;1,E53-1,0))</f>
        <v>0</v>
      </c>
      <c r="G53" s="30">
        <f>IF('19. Sewer - Capex Input'!$I34=G$3,'19. Sewer - Capex Input'!$G34,IF(F53&gt;1,F53-1,0))</f>
        <v>30</v>
      </c>
      <c r="H53" s="30">
        <f>IF('19. Sewer - Capex Input'!$I34=H$3,'19. Sewer - Capex Input'!$G34,IF(G53&gt;1,G53-1,0))</f>
        <v>29</v>
      </c>
    </row>
    <row r="54" spans="2:8">
      <c r="B54" s="152">
        <f>'19. Sewer - Capex Input'!F35</f>
        <v>0</v>
      </c>
      <c r="D54" s="30">
        <f>IF('19. Sewer - Capex Input'!$I35=D$3,'19. Sewer - Capex Input'!$G35,IF(C54&gt;1,C54-1,0))</f>
        <v>0</v>
      </c>
      <c r="E54" s="30">
        <f>IF('19. Sewer - Capex Input'!$I35=E$3,'19. Sewer - Capex Input'!$G35,IF(D54&gt;1,D54-1,0))</f>
        <v>0</v>
      </c>
      <c r="F54" s="30">
        <f>IF('19. Sewer - Capex Input'!$I35=F$3,'19. Sewer - Capex Input'!$G35,IF(E54&gt;1,E54-1,0))</f>
        <v>0</v>
      </c>
      <c r="G54" s="30">
        <f>IF('19. Sewer - Capex Input'!$I35=G$3,'19. Sewer - Capex Input'!$G35,IF(F54&gt;1,F54-1,0))</f>
        <v>0</v>
      </c>
      <c r="H54" s="30">
        <f>IF('19. Sewer - Capex Input'!$I35=H$3,'19. Sewer - Capex Input'!$G35,IF(G54&gt;1,G54-1,0))</f>
        <v>30</v>
      </c>
    </row>
    <row r="55" spans="2:8">
      <c r="B55" s="152">
        <f>'19. Sewer - Capex Input'!F36</f>
        <v>0</v>
      </c>
      <c r="D55" s="30">
        <f>IF('19. Sewer - Capex Input'!$I36=D$3,'19. Sewer - Capex Input'!$G36,IF(C55&gt;1,C55-1,0))</f>
        <v>0</v>
      </c>
      <c r="E55" s="30">
        <f>IF('19. Sewer - Capex Input'!$I36=E$3,'19. Sewer - Capex Input'!$G36,IF(D55&gt;1,D55-1,0))</f>
        <v>0</v>
      </c>
      <c r="F55" s="30">
        <f>IF('19. Sewer - Capex Input'!$I36=F$3,'19. Sewer - Capex Input'!$G36,IF(E55&gt;1,E55-1,0))</f>
        <v>80</v>
      </c>
      <c r="G55" s="30">
        <f>IF('19. Sewer - Capex Input'!$I36=G$3,'19. Sewer - Capex Input'!$G36,IF(F55&gt;1,F55-1,0))</f>
        <v>79</v>
      </c>
      <c r="H55" s="30">
        <f>IF('19. Sewer - Capex Input'!$I36=H$3,'19. Sewer - Capex Input'!$G36,IF(G55&gt;1,G55-1,0))</f>
        <v>78</v>
      </c>
    </row>
    <row r="56" spans="2:8">
      <c r="B56" s="152">
        <f>'19. Sewer - Capex Input'!F37</f>
        <v>0</v>
      </c>
      <c r="D56" s="30">
        <f>IF('19. Sewer - Capex Input'!$I37=D$3,'19. Sewer - Capex Input'!$G37,IF(C56&gt;1,C56-1,0))</f>
        <v>0</v>
      </c>
      <c r="E56" s="30">
        <f>IF('19. Sewer - Capex Input'!$I37=E$3,'19. Sewer - Capex Input'!$G37,IF(D56&gt;1,D56-1,0))</f>
        <v>0</v>
      </c>
      <c r="F56" s="30">
        <f>IF('19. Sewer - Capex Input'!$I37=F$3,'19. Sewer - Capex Input'!$G37,IF(E56&gt;1,E56-1,0))</f>
        <v>0</v>
      </c>
      <c r="G56" s="30">
        <f>IF('19. Sewer - Capex Input'!$I37=G$3,'19. Sewer - Capex Input'!$G37,IF(F56&gt;1,F56-1,0))</f>
        <v>80</v>
      </c>
      <c r="H56" s="30">
        <f>IF('19. Sewer - Capex Input'!$I37=H$3,'19. Sewer - Capex Input'!$G37,IF(G56&gt;1,G56-1,0))</f>
        <v>79</v>
      </c>
    </row>
    <row r="57" spans="2:8">
      <c r="B57" s="152">
        <f>'19. Sewer - Capex Input'!F38</f>
        <v>0</v>
      </c>
      <c r="D57" s="30">
        <f>IF('19. Sewer - Capex Input'!$I38=D$3,'19. Sewer - Capex Input'!$G38,IF(C57&gt;1,C57-1,0))</f>
        <v>0</v>
      </c>
      <c r="E57" s="30">
        <f>IF('19. Sewer - Capex Input'!$I38=E$3,'19. Sewer - Capex Input'!$G38,IF(D57&gt;1,D57-1,0))</f>
        <v>0</v>
      </c>
      <c r="F57" s="30">
        <f>IF('19. Sewer - Capex Input'!$I38=F$3,'19. Sewer - Capex Input'!$G38,IF(E57&gt;1,E57-1,0))</f>
        <v>0</v>
      </c>
      <c r="G57" s="30">
        <f>IF('19. Sewer - Capex Input'!$I38=G$3,'19. Sewer - Capex Input'!$G38,IF(F57&gt;1,F57-1,0))</f>
        <v>0</v>
      </c>
      <c r="H57" s="30">
        <f>IF('19. Sewer - Capex Input'!$I38=H$3,'19. Sewer - Capex Input'!$G38,IF(G57&gt;1,G57-1,0))</f>
        <v>80</v>
      </c>
    </row>
    <row r="58" spans="2:8">
      <c r="B58" s="152">
        <f>'19. Sewer - Capex Input'!F39</f>
        <v>0</v>
      </c>
      <c r="D58" s="30">
        <f>IF('19. Sewer - Capex Input'!$I39=D$3,'19. Sewer - Capex Input'!$G39,IF(C58&gt;1,C58-1,0))</f>
        <v>0</v>
      </c>
      <c r="E58" s="30">
        <f>IF('19. Sewer - Capex Input'!$I39=E$3,'19. Sewer - Capex Input'!$G39,IF(D58&gt;1,D58-1,0))</f>
        <v>0</v>
      </c>
      <c r="F58" s="30">
        <f>IF('19. Sewer - Capex Input'!$I39=F$3,'19. Sewer - Capex Input'!$G39,IF(E58&gt;1,E58-1,0))</f>
        <v>60</v>
      </c>
      <c r="G58" s="30">
        <f>IF('19. Sewer - Capex Input'!$I39=G$3,'19. Sewer - Capex Input'!$G39,IF(F58&gt;1,F58-1,0))</f>
        <v>59</v>
      </c>
      <c r="H58" s="30">
        <f>IF('19. Sewer - Capex Input'!$I39=H$3,'19. Sewer - Capex Input'!$G39,IF(G58&gt;1,G58-1,0))</f>
        <v>58</v>
      </c>
    </row>
    <row r="59" spans="2:8">
      <c r="B59" s="152">
        <f>'19. Sewer - Capex Input'!F40</f>
        <v>0</v>
      </c>
      <c r="D59" s="30">
        <f>IF('19. Sewer - Capex Input'!$I40=D$3,'19. Sewer - Capex Input'!$G40,IF(C59&gt;1,C59-1,0))</f>
        <v>0</v>
      </c>
      <c r="E59" s="30">
        <f>IF('19. Sewer - Capex Input'!$I40=E$3,'19. Sewer - Capex Input'!$G40,IF(D59&gt;1,D59-1,0))</f>
        <v>0</v>
      </c>
      <c r="F59" s="30">
        <f>IF('19. Sewer - Capex Input'!$I40=F$3,'19. Sewer - Capex Input'!$G40,IF(E59&gt;1,E59-1,0))</f>
        <v>0</v>
      </c>
      <c r="G59" s="30">
        <f>IF('19. Sewer - Capex Input'!$I40=G$3,'19. Sewer - Capex Input'!$G40,IF(F59&gt;1,F59-1,0))</f>
        <v>60</v>
      </c>
      <c r="H59" s="30">
        <f>IF('19. Sewer - Capex Input'!$I40=H$3,'19. Sewer - Capex Input'!$G40,IF(G59&gt;1,G59-1,0))</f>
        <v>59</v>
      </c>
    </row>
    <row r="60" spans="2:8">
      <c r="B60" s="152">
        <f>'19. Sewer - Capex Input'!F41</f>
        <v>0</v>
      </c>
      <c r="D60" s="30">
        <f>IF('19. Sewer - Capex Input'!$I41=D$3,'19. Sewer - Capex Input'!$G41,IF(C60&gt;1,C60-1,0))</f>
        <v>0</v>
      </c>
      <c r="E60" s="30">
        <f>IF('19. Sewer - Capex Input'!$I41=E$3,'19. Sewer - Capex Input'!$G41,IF(D60&gt;1,D60-1,0))</f>
        <v>0</v>
      </c>
      <c r="F60" s="30">
        <f>IF('19. Sewer - Capex Input'!$I41=F$3,'19. Sewer - Capex Input'!$G41,IF(E60&gt;1,E60-1,0))</f>
        <v>0</v>
      </c>
      <c r="G60" s="30">
        <f>IF('19. Sewer - Capex Input'!$I41=G$3,'19. Sewer - Capex Input'!$G41,IF(F60&gt;1,F60-1,0))</f>
        <v>0</v>
      </c>
      <c r="H60" s="30">
        <f>IF('19. Sewer - Capex Input'!$I41=H$3,'19. Sewer - Capex Input'!$G41,IF(G60&gt;1,G60-1,0))</f>
        <v>60</v>
      </c>
    </row>
    <row r="61" spans="2:8">
      <c r="B61" s="152">
        <f>'19. Sewer - Capex Input'!F42</f>
        <v>0</v>
      </c>
      <c r="D61" s="30">
        <f>IF('19. Sewer - Capex Input'!$I42=D$3,'19. Sewer - Capex Input'!$G42,IF(C61&gt;1,C61-1,0))</f>
        <v>0</v>
      </c>
      <c r="E61" s="30">
        <f>IF('19. Sewer - Capex Input'!$I42=E$3,'19. Sewer - Capex Input'!$G42,IF(D61&gt;1,D61-1,0))</f>
        <v>10</v>
      </c>
      <c r="F61" s="30">
        <f>IF('19. Sewer - Capex Input'!$I42=F$3,'19. Sewer - Capex Input'!$G42,IF(E61&gt;1,E61-1,0))</f>
        <v>9</v>
      </c>
      <c r="G61" s="30">
        <f>IF('19. Sewer - Capex Input'!$I42=G$3,'19. Sewer - Capex Input'!$G42,IF(F61&gt;1,F61-1,0))</f>
        <v>8</v>
      </c>
      <c r="H61" s="30">
        <f>IF('19. Sewer - Capex Input'!$I42=H$3,'19. Sewer - Capex Input'!$G42,IF(G61&gt;1,G61-1,0))</f>
        <v>7</v>
      </c>
    </row>
    <row r="62" spans="2:8">
      <c r="B62" s="152">
        <f>'19. Sewer - Capex Input'!F43</f>
        <v>0</v>
      </c>
      <c r="D62" s="30">
        <f>IF('19. Sewer - Capex Input'!$I43=D$3,'19. Sewer - Capex Input'!$G43,IF(C62&gt;1,C62-1,0))</f>
        <v>0</v>
      </c>
      <c r="E62" s="30">
        <f>IF('19. Sewer - Capex Input'!$I43=E$3,'19. Sewer - Capex Input'!$G43,IF(D62&gt;1,D62-1,0))</f>
        <v>0</v>
      </c>
      <c r="F62" s="30">
        <f>IF('19. Sewer - Capex Input'!$I43=F$3,'19. Sewer - Capex Input'!$G43,IF(E62&gt;1,E62-1,0))</f>
        <v>10</v>
      </c>
      <c r="G62" s="30">
        <f>IF('19. Sewer - Capex Input'!$I43=G$3,'19. Sewer - Capex Input'!$G43,IF(F62&gt;1,F62-1,0))</f>
        <v>9</v>
      </c>
      <c r="H62" s="30">
        <f>IF('19. Sewer - Capex Input'!$I43=H$3,'19. Sewer - Capex Input'!$G43,IF(G62&gt;1,G62-1,0))</f>
        <v>8</v>
      </c>
    </row>
    <row r="63" spans="2:8">
      <c r="B63" s="152">
        <f>'19. Sewer - Capex Input'!F44</f>
        <v>0</v>
      </c>
      <c r="D63" s="30">
        <f>IF('19. Sewer - Capex Input'!$I44=D$3,'19. Sewer - Capex Input'!$G44,IF(C63&gt;1,C63-1,0))</f>
        <v>0</v>
      </c>
      <c r="E63" s="30">
        <f>IF('19. Sewer - Capex Input'!$I44=E$3,'19. Sewer - Capex Input'!$G44,IF(D63&gt;1,D63-1,0))</f>
        <v>0</v>
      </c>
      <c r="F63" s="30">
        <f>IF('19. Sewer - Capex Input'!$I44=F$3,'19. Sewer - Capex Input'!$G44,IF(E63&gt;1,E63-1,0))</f>
        <v>0</v>
      </c>
      <c r="G63" s="30">
        <f>IF('19. Sewer - Capex Input'!$I44=G$3,'19. Sewer - Capex Input'!$G44,IF(F63&gt;1,F63-1,0))</f>
        <v>10</v>
      </c>
      <c r="H63" s="30">
        <f>IF('19. Sewer - Capex Input'!$I44=H$3,'19. Sewer - Capex Input'!$G44,IF(G63&gt;1,G63-1,0))</f>
        <v>9</v>
      </c>
    </row>
    <row r="64" spans="2:8">
      <c r="B64" s="152">
        <f>'19. Sewer - Capex Input'!F45</f>
        <v>0</v>
      </c>
      <c r="D64" s="30">
        <f>IF('19. Sewer - Capex Input'!$I45=D$3,'19. Sewer - Capex Input'!$G45,IF(C64&gt;1,C64-1,0))</f>
        <v>0</v>
      </c>
      <c r="E64" s="30">
        <f>IF('19. Sewer - Capex Input'!$I45=E$3,'19. Sewer - Capex Input'!$G45,IF(D64&gt;1,D64-1,0))</f>
        <v>0</v>
      </c>
      <c r="F64" s="30">
        <f>IF('19. Sewer - Capex Input'!$I45=F$3,'19. Sewer - Capex Input'!$G45,IF(E64&gt;1,E64-1,0))</f>
        <v>0</v>
      </c>
      <c r="G64" s="30">
        <f>IF('19. Sewer - Capex Input'!$I45=G$3,'19. Sewer - Capex Input'!$G45,IF(F64&gt;1,F64-1,0))</f>
        <v>0</v>
      </c>
      <c r="H64" s="30">
        <f>IF('19. Sewer - Capex Input'!$I45=H$3,'19. Sewer - Capex Input'!$G45,IF(G64&gt;1,G64-1,0))</f>
        <v>10</v>
      </c>
    </row>
    <row r="65" spans="2:8">
      <c r="B65" s="152">
        <f>'19. Sewer - Capex Input'!F46</f>
        <v>0</v>
      </c>
      <c r="D65" s="30">
        <f>IF('19. Sewer - Capex Input'!$I46=D$3,'19. Sewer - Capex Input'!$G46,IF(C65&gt;1,C65-1,0))</f>
        <v>0</v>
      </c>
      <c r="E65" s="30">
        <f>IF('19. Sewer - Capex Input'!$I46=E$3,'19. Sewer - Capex Input'!$G46,IF(D65&gt;1,D65-1,0))</f>
        <v>0</v>
      </c>
      <c r="F65" s="30">
        <f>IF('19. Sewer - Capex Input'!$I46=F$3,'19. Sewer - Capex Input'!$G46,IF(E65&gt;1,E65-1,0))</f>
        <v>30</v>
      </c>
      <c r="G65" s="30">
        <f>IF('19. Sewer - Capex Input'!$I46=G$3,'19. Sewer - Capex Input'!$G46,IF(F65&gt;1,F65-1,0))</f>
        <v>29</v>
      </c>
      <c r="H65" s="30">
        <f>IF('19. Sewer - Capex Input'!$I46=H$3,'19. Sewer - Capex Input'!$G46,IF(G65&gt;1,G65-1,0))</f>
        <v>28</v>
      </c>
    </row>
    <row r="66" spans="2:8">
      <c r="B66" s="152">
        <f>'19. Sewer - Capex Input'!F47</f>
        <v>0</v>
      </c>
      <c r="D66" s="30">
        <f>IF('19. Sewer - Capex Input'!$I47=D$3,'19. Sewer - Capex Input'!$G47,IF(C66&gt;1,C66-1,0))</f>
        <v>0</v>
      </c>
      <c r="E66" s="30">
        <f>IF('19. Sewer - Capex Input'!$I47=E$3,'19. Sewer - Capex Input'!$G47,IF(D66&gt;1,D66-1,0))</f>
        <v>0</v>
      </c>
      <c r="F66" s="30">
        <f>IF('19. Sewer - Capex Input'!$I47=F$3,'19. Sewer - Capex Input'!$G47,IF(E66&gt;1,E66-1,0))</f>
        <v>0</v>
      </c>
      <c r="G66" s="30">
        <f>IF('19. Sewer - Capex Input'!$I47=G$3,'19. Sewer - Capex Input'!$G47,IF(F66&gt;1,F66-1,0))</f>
        <v>30</v>
      </c>
      <c r="H66" s="30">
        <f>IF('19. Sewer - Capex Input'!$I47=H$3,'19. Sewer - Capex Input'!$G47,IF(G66&gt;1,G66-1,0))</f>
        <v>29</v>
      </c>
    </row>
    <row r="67" spans="2:8">
      <c r="B67" s="152">
        <f>'19. Sewer - Capex Input'!F48</f>
        <v>0</v>
      </c>
      <c r="D67" s="30">
        <f>IF('19. Sewer - Capex Input'!$I48=D$3,'19. Sewer - Capex Input'!$G48,IF(C67&gt;1,C67-1,0))</f>
        <v>30</v>
      </c>
      <c r="E67" s="30">
        <f>IF('19. Sewer - Capex Input'!$I48=E$3,'19. Sewer - Capex Input'!$G48,IF(D67&gt;1,D67-1,0))</f>
        <v>29</v>
      </c>
      <c r="F67" s="30">
        <f>IF('19. Sewer - Capex Input'!$I48=F$3,'19. Sewer - Capex Input'!$G48,IF(E67&gt;1,E67-1,0))</f>
        <v>28</v>
      </c>
      <c r="G67" s="30">
        <f>IF('19. Sewer - Capex Input'!$I48=G$3,'19. Sewer - Capex Input'!$G48,IF(F67&gt;1,F67-1,0))</f>
        <v>27</v>
      </c>
      <c r="H67" s="30">
        <f>IF('19. Sewer - Capex Input'!$I48=H$3,'19. Sewer - Capex Input'!$G48,IF(G67&gt;1,G67-1,0))</f>
        <v>26</v>
      </c>
    </row>
    <row r="68" spans="2:8">
      <c r="B68" s="152">
        <f>'19. Sewer - Capex Input'!F49</f>
        <v>0</v>
      </c>
      <c r="D68" s="30">
        <f>IF('19. Sewer - Capex Input'!$I49=D$3,'19. Sewer - Capex Input'!$G49,IF(C68&gt;1,C68-1,0))</f>
        <v>0</v>
      </c>
      <c r="E68" s="30">
        <f>IF('19. Sewer - Capex Input'!$I49=E$3,'19. Sewer - Capex Input'!$G49,IF(D68&gt;1,D68-1,0))</f>
        <v>30</v>
      </c>
      <c r="F68" s="30">
        <f>IF('19. Sewer - Capex Input'!$I49=F$3,'19. Sewer - Capex Input'!$G49,IF(E68&gt;1,E68-1,0))</f>
        <v>29</v>
      </c>
      <c r="G68" s="30">
        <f>IF('19. Sewer - Capex Input'!$I49=G$3,'19. Sewer - Capex Input'!$G49,IF(F68&gt;1,F68-1,0))</f>
        <v>28</v>
      </c>
      <c r="H68" s="30">
        <f>IF('19. Sewer - Capex Input'!$I49=H$3,'19. Sewer - Capex Input'!$G49,IF(G68&gt;1,G68-1,0))</f>
        <v>27</v>
      </c>
    </row>
    <row r="69" spans="2:8">
      <c r="B69" s="152">
        <f>'19. Sewer - Capex Input'!F50</f>
        <v>0</v>
      </c>
      <c r="D69" s="30">
        <f>IF('19. Sewer - Capex Input'!$I50=D$3,'19. Sewer - Capex Input'!$G50,IF(C69&gt;1,C69-1,0))</f>
        <v>30</v>
      </c>
      <c r="E69" s="30">
        <f>IF('19. Sewer - Capex Input'!$I50=E$3,'19. Sewer - Capex Input'!$G50,IF(D69&gt;1,D69-1,0))</f>
        <v>29</v>
      </c>
      <c r="F69" s="30">
        <f>IF('19. Sewer - Capex Input'!$I50=F$3,'19. Sewer - Capex Input'!$G50,IF(E69&gt;1,E69-1,0))</f>
        <v>28</v>
      </c>
      <c r="G69" s="30">
        <f>IF('19. Sewer - Capex Input'!$I50=G$3,'19. Sewer - Capex Input'!$G50,IF(F69&gt;1,F69-1,0))</f>
        <v>27</v>
      </c>
      <c r="H69" s="30">
        <f>IF('19. Sewer - Capex Input'!$I50=H$3,'19. Sewer - Capex Input'!$G50,IF(G69&gt;1,G69-1,0))</f>
        <v>26</v>
      </c>
    </row>
    <row r="70" spans="2:8">
      <c r="B70" s="152">
        <f>'19. Sewer - Capex Input'!F51</f>
        <v>0</v>
      </c>
      <c r="D70" s="30">
        <f>IF('19. Sewer - Capex Input'!$I51=D$3,'19. Sewer - Capex Input'!$G51,IF(C70&gt;1,C70-1,0))</f>
        <v>0</v>
      </c>
      <c r="E70" s="30">
        <f>IF('19. Sewer - Capex Input'!$I51=E$3,'19. Sewer - Capex Input'!$G51,IF(D70&gt;1,D70-1,0))</f>
        <v>30</v>
      </c>
      <c r="F70" s="30">
        <f>IF('19. Sewer - Capex Input'!$I51=F$3,'19. Sewer - Capex Input'!$G51,IF(E70&gt;1,E70-1,0))</f>
        <v>29</v>
      </c>
      <c r="G70" s="30">
        <f>IF('19. Sewer - Capex Input'!$I51=G$3,'19. Sewer - Capex Input'!$G51,IF(F70&gt;1,F70-1,0))</f>
        <v>28</v>
      </c>
      <c r="H70" s="30">
        <f>IF('19. Sewer - Capex Input'!$I51=H$3,'19. Sewer - Capex Input'!$G51,IF(G70&gt;1,G70-1,0))</f>
        <v>27</v>
      </c>
    </row>
    <row r="71" spans="2:8">
      <c r="B71" s="152">
        <f>'19. Sewer - Capex Input'!F52</f>
        <v>0</v>
      </c>
      <c r="D71" s="30">
        <f>IF('19. Sewer - Capex Input'!$I52=D$3,'19. Sewer - Capex Input'!$G52,IF(C71&gt;1,C71-1,0))</f>
        <v>0</v>
      </c>
      <c r="E71" s="30">
        <f>IF('19. Sewer - Capex Input'!$I52=E$3,'19. Sewer - Capex Input'!$G52,IF(D71&gt;1,D71-1,0))</f>
        <v>0</v>
      </c>
      <c r="F71" s="30">
        <f>IF('19. Sewer - Capex Input'!$I52=F$3,'19. Sewer - Capex Input'!$G52,IF(E71&gt;1,E71-1,0))</f>
        <v>30</v>
      </c>
      <c r="G71" s="30">
        <f>IF('19. Sewer - Capex Input'!$I52=G$3,'19. Sewer - Capex Input'!$G52,IF(F71&gt;1,F71-1,0))</f>
        <v>29</v>
      </c>
      <c r="H71" s="30">
        <f>IF('19. Sewer - Capex Input'!$I52=H$3,'19. Sewer - Capex Input'!$G52,IF(G71&gt;1,G71-1,0))</f>
        <v>28</v>
      </c>
    </row>
    <row r="72" spans="2:8">
      <c r="B72" s="152">
        <f>'19. Sewer - Capex Input'!F53</f>
        <v>0</v>
      </c>
      <c r="D72" s="30">
        <f>IF('19. Sewer - Capex Input'!$I53=D$3,'19. Sewer - Capex Input'!$G53,IF(C72&gt;1,C72-1,0))</f>
        <v>80</v>
      </c>
      <c r="E72" s="30">
        <f>IF('19. Sewer - Capex Input'!$I53=E$3,'19. Sewer - Capex Input'!$G53,IF(D72&gt;1,D72-1,0))</f>
        <v>79</v>
      </c>
      <c r="F72" s="30">
        <f>IF('19. Sewer - Capex Input'!$I53=F$3,'19. Sewer - Capex Input'!$G53,IF(E72&gt;1,E72-1,0))</f>
        <v>78</v>
      </c>
      <c r="G72" s="30">
        <f>IF('19. Sewer - Capex Input'!$I53=G$3,'19. Sewer - Capex Input'!$G53,IF(F72&gt;1,F72-1,0))</f>
        <v>77</v>
      </c>
      <c r="H72" s="30">
        <f>IF('19. Sewer - Capex Input'!$I53=H$3,'19. Sewer - Capex Input'!$G53,IF(G72&gt;1,G72-1,0))</f>
        <v>76</v>
      </c>
    </row>
    <row r="73" spans="2:8">
      <c r="B73" s="152">
        <f>'19. Sewer - Capex Input'!F54</f>
        <v>0</v>
      </c>
      <c r="D73" s="30">
        <f>IF('19. Sewer - Capex Input'!$I54=D$3,'19. Sewer - Capex Input'!$G54,IF(C73&gt;1,C73-1,0))</f>
        <v>0</v>
      </c>
      <c r="E73" s="30">
        <f>IF('19. Sewer - Capex Input'!$I54=E$3,'19. Sewer - Capex Input'!$G54,IF(D73&gt;1,D73-1,0))</f>
        <v>80</v>
      </c>
      <c r="F73" s="30">
        <f>IF('19. Sewer - Capex Input'!$I54=F$3,'19. Sewer - Capex Input'!$G54,IF(E73&gt;1,E73-1,0))</f>
        <v>79</v>
      </c>
      <c r="G73" s="30">
        <f>IF('19. Sewer - Capex Input'!$I54=G$3,'19. Sewer - Capex Input'!$G54,IF(F73&gt;1,F73-1,0))</f>
        <v>78</v>
      </c>
      <c r="H73" s="30">
        <f>IF('19. Sewer - Capex Input'!$I54=H$3,'19. Sewer - Capex Input'!$G54,IF(G73&gt;1,G73-1,0))</f>
        <v>77</v>
      </c>
    </row>
    <row r="74" spans="2:8">
      <c r="B74" s="152">
        <f>'19. Sewer - Capex Input'!F55</f>
        <v>0</v>
      </c>
      <c r="D74" s="30">
        <f>IF('19. Sewer - Capex Input'!$I55=D$3,'19. Sewer - Capex Input'!$G55,IF(C74&gt;1,C74-1,0))</f>
        <v>0</v>
      </c>
      <c r="E74" s="30">
        <f>IF('19. Sewer - Capex Input'!$I55=E$3,'19. Sewer - Capex Input'!$G55,IF(D74&gt;1,D74-1,0))</f>
        <v>0</v>
      </c>
      <c r="F74" s="30">
        <f>IF('19. Sewer - Capex Input'!$I55=F$3,'19. Sewer - Capex Input'!$G55,IF(E74&gt;1,E74-1,0))</f>
        <v>20</v>
      </c>
      <c r="G74" s="30">
        <f>IF('19. Sewer - Capex Input'!$I55=G$3,'19. Sewer - Capex Input'!$G55,IF(F74&gt;1,F74-1,0))</f>
        <v>19</v>
      </c>
      <c r="H74" s="30">
        <f>IF('19. Sewer - Capex Input'!$I55=H$3,'19. Sewer - Capex Input'!$G55,IF(G74&gt;1,G74-1,0))</f>
        <v>18</v>
      </c>
    </row>
    <row r="75" spans="2:8">
      <c r="B75" s="152">
        <f>'19. Sewer - Capex Input'!F56</f>
        <v>0</v>
      </c>
      <c r="D75" s="30">
        <f>IF('19. Sewer - Capex Input'!$I56=D$3,'19. Sewer - Capex Input'!$G56,IF(C75&gt;1,C75-1,0))</f>
        <v>0</v>
      </c>
      <c r="E75" s="30">
        <f>IF('19. Sewer - Capex Input'!$I56=E$3,'19. Sewer - Capex Input'!$G56,IF(D75&gt;1,D75-1,0))</f>
        <v>0</v>
      </c>
      <c r="F75" s="30">
        <f>IF('19. Sewer - Capex Input'!$I56=F$3,'19. Sewer - Capex Input'!$G56,IF(E75&gt;1,E75-1,0))</f>
        <v>0</v>
      </c>
      <c r="G75" s="30">
        <f>IF('19. Sewer - Capex Input'!$I56=G$3,'19. Sewer - Capex Input'!$G56,IF(F75&gt;1,F75-1,0))</f>
        <v>20</v>
      </c>
      <c r="H75" s="30">
        <f>IF('19. Sewer - Capex Input'!$I56=H$3,'19. Sewer - Capex Input'!$G56,IF(G75&gt;1,G75-1,0))</f>
        <v>19</v>
      </c>
    </row>
    <row r="76" spans="2:8">
      <c r="B76" s="152">
        <f>'19. Sewer - Capex Input'!F57</f>
        <v>0</v>
      </c>
      <c r="D76" s="30">
        <f>IF('19. Sewer - Capex Input'!$I57=D$3,'19. Sewer - Capex Input'!$G57,IF(C76&gt;1,C76-1,0))</f>
        <v>0</v>
      </c>
      <c r="E76" s="30">
        <f>IF('19. Sewer - Capex Input'!$I57=E$3,'19. Sewer - Capex Input'!$G57,IF(D76&gt;1,D76-1,0))</f>
        <v>0</v>
      </c>
      <c r="F76" s="30">
        <f>IF('19. Sewer - Capex Input'!$I57=F$3,'19. Sewer - Capex Input'!$G57,IF(E76&gt;1,E76-1,0))</f>
        <v>0</v>
      </c>
      <c r="G76" s="30">
        <f>IF('19. Sewer - Capex Input'!$I57=G$3,'19. Sewer - Capex Input'!$G57,IF(F76&gt;1,F76-1,0))</f>
        <v>0</v>
      </c>
      <c r="H76" s="30">
        <f>IF('19. Sewer - Capex Input'!$I57=H$3,'19. Sewer - Capex Input'!$G57,IF(G76&gt;1,G76-1,0))</f>
        <v>20</v>
      </c>
    </row>
    <row r="77" spans="2:8">
      <c r="B77" s="152">
        <f>'19. Sewer - Capex Input'!F58</f>
        <v>0</v>
      </c>
      <c r="D77" s="30">
        <f>IF('19. Sewer - Capex Input'!$I58=D$3,'19. Sewer - Capex Input'!$G58,IF(C77&gt;1,C77-1,0))</f>
        <v>20</v>
      </c>
      <c r="E77" s="30">
        <f>IF('19. Sewer - Capex Input'!$I58=E$3,'19. Sewer - Capex Input'!$G58,IF(D77&gt;1,D77-1,0))</f>
        <v>19</v>
      </c>
      <c r="F77" s="30">
        <f>IF('19. Sewer - Capex Input'!$I58=F$3,'19. Sewer - Capex Input'!$G58,IF(E77&gt;1,E77-1,0))</f>
        <v>18</v>
      </c>
      <c r="G77" s="30">
        <f>IF('19. Sewer - Capex Input'!$I58=G$3,'19. Sewer - Capex Input'!$G58,IF(F77&gt;1,F77-1,0))</f>
        <v>17</v>
      </c>
      <c r="H77" s="30">
        <f>IF('19. Sewer - Capex Input'!$I58=H$3,'19. Sewer - Capex Input'!$G58,IF(G77&gt;1,G77-1,0))</f>
        <v>16</v>
      </c>
    </row>
    <row r="78" spans="2:8">
      <c r="B78" s="152">
        <f>'19. Sewer - Capex Input'!F59</f>
        <v>0</v>
      </c>
      <c r="D78" s="30">
        <f>IF('19. Sewer - Capex Input'!$I59=D$3,'19. Sewer - Capex Input'!$G59,IF(C78&gt;1,C78-1,0))</f>
        <v>0</v>
      </c>
      <c r="E78" s="30">
        <f>IF('19. Sewer - Capex Input'!$I59=E$3,'19. Sewer - Capex Input'!$G59,IF(D78&gt;1,D78-1,0))</f>
        <v>20</v>
      </c>
      <c r="F78" s="30">
        <f>IF('19. Sewer - Capex Input'!$I59=F$3,'19. Sewer - Capex Input'!$G59,IF(E78&gt;1,E78-1,0))</f>
        <v>19</v>
      </c>
      <c r="G78" s="30">
        <f>IF('19. Sewer - Capex Input'!$I59=G$3,'19. Sewer - Capex Input'!$G59,IF(F78&gt;1,F78-1,0))</f>
        <v>18</v>
      </c>
      <c r="H78" s="30">
        <f>IF('19. Sewer - Capex Input'!$I59=H$3,'19. Sewer - Capex Input'!$G59,IF(G78&gt;1,G78-1,0))</f>
        <v>17</v>
      </c>
    </row>
    <row r="79" spans="2:8">
      <c r="B79" s="152">
        <f>'19. Sewer - Capex Input'!F60</f>
        <v>0</v>
      </c>
      <c r="D79" s="30">
        <f>IF('19. Sewer - Capex Input'!$I60=D$3,'19. Sewer - Capex Input'!$G60,IF(C79&gt;1,C79-1,0))</f>
        <v>0</v>
      </c>
      <c r="E79" s="30">
        <f>IF('19. Sewer - Capex Input'!$I60=E$3,'19. Sewer - Capex Input'!$G60,IF(D79&gt;1,D79-1,0))</f>
        <v>0</v>
      </c>
      <c r="F79" s="30">
        <f>IF('19. Sewer - Capex Input'!$I60=F$3,'19. Sewer - Capex Input'!$G60,IF(E79&gt;1,E79-1,0))</f>
        <v>20</v>
      </c>
      <c r="G79" s="30">
        <f>IF('19. Sewer - Capex Input'!$I60=G$3,'19. Sewer - Capex Input'!$G60,IF(F79&gt;1,F79-1,0))</f>
        <v>19</v>
      </c>
      <c r="H79" s="30">
        <f>IF('19. Sewer - Capex Input'!$I60=H$3,'19. Sewer - Capex Input'!$G60,IF(G79&gt;1,G79-1,0))</f>
        <v>18</v>
      </c>
    </row>
    <row r="80" spans="2:8">
      <c r="B80" s="152">
        <f>'19. Sewer - Capex Input'!F61</f>
        <v>0</v>
      </c>
      <c r="D80" s="30">
        <f>IF('19. Sewer - Capex Input'!$I61=D$3,'19. Sewer - Capex Input'!$G61,IF(C80&gt;1,C80-1,0))</f>
        <v>0</v>
      </c>
      <c r="E80" s="30">
        <f>IF('19. Sewer - Capex Input'!$I61=E$3,'19. Sewer - Capex Input'!$G61,IF(D80&gt;1,D80-1,0))</f>
        <v>0</v>
      </c>
      <c r="F80" s="30">
        <f>IF('19. Sewer - Capex Input'!$I61=F$3,'19. Sewer - Capex Input'!$G61,IF(E80&gt;1,E80-1,0))</f>
        <v>0</v>
      </c>
      <c r="G80" s="30">
        <f>IF('19. Sewer - Capex Input'!$I61=G$3,'19. Sewer - Capex Input'!$G61,IF(F80&gt;1,F80-1,0))</f>
        <v>20</v>
      </c>
      <c r="H80" s="30">
        <f>IF('19. Sewer - Capex Input'!$I61=H$3,'19. Sewer - Capex Input'!$G61,IF(G80&gt;1,G80-1,0))</f>
        <v>19</v>
      </c>
    </row>
    <row r="81" spans="2:8">
      <c r="B81" s="152">
        <f>'19. Sewer - Capex Input'!F62</f>
        <v>0</v>
      </c>
      <c r="D81" s="30">
        <f>IF('19. Sewer - Capex Input'!$I62=D$3,'19. Sewer - Capex Input'!$G62,IF(C81&gt;1,C81-1,0))</f>
        <v>0</v>
      </c>
      <c r="E81" s="30">
        <f>IF('19. Sewer - Capex Input'!$I62=E$3,'19. Sewer - Capex Input'!$G62,IF(D81&gt;1,D81-1,0))</f>
        <v>0</v>
      </c>
      <c r="F81" s="30">
        <f>IF('19. Sewer - Capex Input'!$I62=F$3,'19. Sewer - Capex Input'!$G62,IF(E81&gt;1,E81-1,0))</f>
        <v>0</v>
      </c>
      <c r="G81" s="30">
        <f>IF('19. Sewer - Capex Input'!$I62=G$3,'19. Sewer - Capex Input'!$G62,IF(F81&gt;1,F81-1,0))</f>
        <v>80</v>
      </c>
      <c r="H81" s="30">
        <f>IF('19. Sewer - Capex Input'!$I62=H$3,'19. Sewer - Capex Input'!$G62,IF(G81&gt;1,G81-1,0))</f>
        <v>79</v>
      </c>
    </row>
    <row r="82" spans="2:8">
      <c r="B82" s="152">
        <f>'19. Sewer - Capex Input'!F63</f>
        <v>0</v>
      </c>
      <c r="D82" s="30">
        <f>IF('19. Sewer - Capex Input'!$I63=D$3,'19. Sewer - Capex Input'!$G63,IF(C82&gt;1,C82-1,0))</f>
        <v>0</v>
      </c>
      <c r="E82" s="30">
        <f>IF('19. Sewer - Capex Input'!$I63=E$3,'19. Sewer - Capex Input'!$G63,IF(D82&gt;1,D82-1,0))</f>
        <v>0</v>
      </c>
      <c r="F82" s="30">
        <f>IF('19. Sewer - Capex Input'!$I63=F$3,'19. Sewer - Capex Input'!$G63,IF(E82&gt;1,E82-1,0))</f>
        <v>0</v>
      </c>
      <c r="G82" s="30">
        <f>IF('19. Sewer - Capex Input'!$I63=G$3,'19. Sewer - Capex Input'!$G63,IF(F82&gt;1,F82-1,0))</f>
        <v>0</v>
      </c>
      <c r="H82" s="30">
        <f>IF('19. Sewer - Capex Input'!$I63=H$3,'19. Sewer - Capex Input'!$G63,IF(G82&gt;1,G82-1,0))</f>
        <v>80</v>
      </c>
    </row>
    <row r="83" spans="2:8">
      <c r="B83" s="152">
        <f>'19. Sewer - Capex Input'!F64</f>
        <v>0</v>
      </c>
      <c r="D83" s="30">
        <f>IF('19. Sewer - Capex Input'!$I64=D$3,'19. Sewer - Capex Input'!$G64,IF(C83&gt;1,C83-1,0))</f>
        <v>30</v>
      </c>
      <c r="E83" s="30">
        <f>IF('19. Sewer - Capex Input'!$I64=E$3,'19. Sewer - Capex Input'!$G64,IF(D83&gt;1,D83-1,0))</f>
        <v>29</v>
      </c>
      <c r="F83" s="30">
        <f>IF('19. Sewer - Capex Input'!$I64=F$3,'19. Sewer - Capex Input'!$G64,IF(E83&gt;1,E83-1,0))</f>
        <v>28</v>
      </c>
      <c r="G83" s="30">
        <f>IF('19. Sewer - Capex Input'!$I64=G$3,'19. Sewer - Capex Input'!$G64,IF(F83&gt;1,F83-1,0))</f>
        <v>27</v>
      </c>
      <c r="H83" s="30">
        <f>IF('19. Sewer - Capex Input'!$I64=H$3,'19. Sewer - Capex Input'!$G64,IF(G83&gt;1,G83-1,0))</f>
        <v>26</v>
      </c>
    </row>
    <row r="84" spans="2:8">
      <c r="B84" s="152">
        <f>'19. Sewer - Capex Input'!F65</f>
        <v>0</v>
      </c>
      <c r="D84" s="30">
        <f>IF('19. Sewer - Capex Input'!$I65=D$3,'19. Sewer - Capex Input'!$G65,IF(C84&gt;1,C84-1,0))</f>
        <v>0</v>
      </c>
      <c r="E84" s="30">
        <f>IF('19. Sewer - Capex Input'!$I65=E$3,'19. Sewer - Capex Input'!$G65,IF(D84&gt;1,D84-1,0))</f>
        <v>30</v>
      </c>
      <c r="F84" s="30">
        <f>IF('19. Sewer - Capex Input'!$I65=F$3,'19. Sewer - Capex Input'!$G65,IF(E84&gt;1,E84-1,0))</f>
        <v>29</v>
      </c>
      <c r="G84" s="30">
        <f>IF('19. Sewer - Capex Input'!$I65=G$3,'19. Sewer - Capex Input'!$G65,IF(F84&gt;1,F84-1,0))</f>
        <v>28</v>
      </c>
      <c r="H84" s="30">
        <f>IF('19. Sewer - Capex Input'!$I65=H$3,'19. Sewer - Capex Input'!$G65,IF(G84&gt;1,G84-1,0))</f>
        <v>27</v>
      </c>
    </row>
    <row r="85" spans="2:8">
      <c r="B85" s="152">
        <f>'19. Sewer - Capex Input'!F66</f>
        <v>0</v>
      </c>
      <c r="D85" s="30">
        <f>IF('19. Sewer - Capex Input'!$I66=D$3,'19. Sewer - Capex Input'!$G66,IF(C85&gt;1,C85-1,0))</f>
        <v>0</v>
      </c>
      <c r="E85" s="30">
        <f>IF('19. Sewer - Capex Input'!$I66=E$3,'19. Sewer - Capex Input'!$G66,IF(D85&gt;1,D85-1,0))</f>
        <v>0</v>
      </c>
      <c r="F85" s="30">
        <f>IF('19. Sewer - Capex Input'!$I66=F$3,'19. Sewer - Capex Input'!$G66,IF(E85&gt;1,E85-1,0))</f>
        <v>30</v>
      </c>
      <c r="G85" s="30">
        <f>IF('19. Sewer - Capex Input'!$I66=G$3,'19. Sewer - Capex Input'!$G66,IF(F85&gt;1,F85-1,0))</f>
        <v>29</v>
      </c>
      <c r="H85" s="30">
        <f>IF('19. Sewer - Capex Input'!$I66=H$3,'19. Sewer - Capex Input'!$G66,IF(G85&gt;1,G85-1,0))</f>
        <v>28</v>
      </c>
    </row>
    <row r="86" spans="2:8">
      <c r="B86" s="152">
        <f>'19. Sewer - Capex Input'!F67</f>
        <v>0</v>
      </c>
      <c r="D86" s="30">
        <f>IF('19. Sewer - Capex Input'!$I67=D$3,'19. Sewer - Capex Input'!$G67,IF(C86&gt;1,C86-1,0))</f>
        <v>0</v>
      </c>
      <c r="E86" s="30">
        <f>IF('19. Sewer - Capex Input'!$I67=E$3,'19. Sewer - Capex Input'!$G67,IF(D86&gt;1,D86-1,0))</f>
        <v>0</v>
      </c>
      <c r="F86" s="30">
        <f>IF('19. Sewer - Capex Input'!$I67=F$3,'19. Sewer - Capex Input'!$G67,IF(E86&gt;1,E86-1,0))</f>
        <v>0</v>
      </c>
      <c r="G86" s="30">
        <f>IF('19. Sewer - Capex Input'!$I67=G$3,'19. Sewer - Capex Input'!$G67,IF(F86&gt;1,F86-1,0))</f>
        <v>30</v>
      </c>
      <c r="H86" s="30">
        <f>IF('19. Sewer - Capex Input'!$I67=H$3,'19. Sewer - Capex Input'!$G67,IF(G86&gt;1,G86-1,0))</f>
        <v>29</v>
      </c>
    </row>
    <row r="87" spans="2:8">
      <c r="B87" s="152">
        <f>'19. Sewer - Capex Input'!F68</f>
        <v>0</v>
      </c>
      <c r="D87" s="30">
        <f>IF('19. Sewer - Capex Input'!$I68=D$3,'19. Sewer - Capex Input'!$G68,IF(C87&gt;1,C87-1,0))</f>
        <v>0</v>
      </c>
      <c r="E87" s="30">
        <f>IF('19. Sewer - Capex Input'!$I68=E$3,'19. Sewer - Capex Input'!$G68,IF(D87&gt;1,D87-1,0))</f>
        <v>0</v>
      </c>
      <c r="F87" s="30">
        <f>IF('19. Sewer - Capex Input'!$I68=F$3,'19. Sewer - Capex Input'!$G68,IF(E87&gt;1,E87-1,0))</f>
        <v>0</v>
      </c>
      <c r="G87" s="30">
        <f>IF('19. Sewer - Capex Input'!$I68=G$3,'19. Sewer - Capex Input'!$G68,IF(F87&gt;1,F87-1,0))</f>
        <v>0</v>
      </c>
      <c r="H87" s="30">
        <f>IF('19. Sewer - Capex Input'!$I68=H$3,'19. Sewer - Capex Input'!$G68,IF(G87&gt;1,G87-1,0))</f>
        <v>30</v>
      </c>
    </row>
    <row r="88" spans="2:8">
      <c r="B88" s="152">
        <f>'19. Sewer - Capex Input'!F69</f>
        <v>0</v>
      </c>
      <c r="D88" s="30">
        <f>IF('19. Sewer - Capex Input'!$I69=D$3,'19. Sewer - Capex Input'!$G69,IF(C88&gt;1,C88-1,0))</f>
        <v>60</v>
      </c>
      <c r="E88" s="30">
        <f>IF('19. Sewer - Capex Input'!$I69=E$3,'19. Sewer - Capex Input'!$G69,IF(D88&gt;1,D88-1,0))</f>
        <v>59</v>
      </c>
      <c r="F88" s="30">
        <f>IF('19. Sewer - Capex Input'!$I69=F$3,'19. Sewer - Capex Input'!$G69,IF(E88&gt;1,E88-1,0))</f>
        <v>58</v>
      </c>
      <c r="G88" s="30">
        <f>IF('19. Sewer - Capex Input'!$I69=G$3,'19. Sewer - Capex Input'!$G69,IF(F88&gt;1,F88-1,0))</f>
        <v>57</v>
      </c>
      <c r="H88" s="30">
        <f>IF('19. Sewer - Capex Input'!$I69=H$3,'19. Sewer - Capex Input'!$G69,IF(G88&gt;1,G88-1,0))</f>
        <v>56</v>
      </c>
    </row>
    <row r="89" spans="2:8">
      <c r="B89" s="152">
        <f>'19. Sewer - Capex Input'!F70</f>
        <v>0</v>
      </c>
      <c r="D89" s="30">
        <f>IF('19. Sewer - Capex Input'!$I70=D$3,'19. Sewer - Capex Input'!$G70,IF(C89&gt;1,C89-1,0))</f>
        <v>0</v>
      </c>
      <c r="E89" s="30">
        <f>IF('19. Sewer - Capex Input'!$I70=E$3,'19. Sewer - Capex Input'!$G70,IF(D89&gt;1,D89-1,0))</f>
        <v>60</v>
      </c>
      <c r="F89" s="30">
        <f>IF('19. Sewer - Capex Input'!$I70=F$3,'19. Sewer - Capex Input'!$G70,IF(E89&gt;1,E89-1,0))</f>
        <v>59</v>
      </c>
      <c r="G89" s="30">
        <f>IF('19. Sewer - Capex Input'!$I70=G$3,'19. Sewer - Capex Input'!$G70,IF(F89&gt;1,F89-1,0))</f>
        <v>58</v>
      </c>
      <c r="H89" s="30">
        <f>IF('19. Sewer - Capex Input'!$I70=H$3,'19. Sewer - Capex Input'!$G70,IF(G89&gt;1,G89-1,0))</f>
        <v>57</v>
      </c>
    </row>
    <row r="90" spans="2:8">
      <c r="B90" s="152">
        <f>'19. Sewer - Capex Input'!F71</f>
        <v>0</v>
      </c>
      <c r="D90" s="30">
        <f>IF('19. Sewer - Capex Input'!$I71=D$3,'19. Sewer - Capex Input'!$G71,IF(C90&gt;1,C90-1,0))</f>
        <v>0</v>
      </c>
      <c r="E90" s="30">
        <f>IF('19. Sewer - Capex Input'!$I71=E$3,'19. Sewer - Capex Input'!$G71,IF(D90&gt;1,D90-1,0))</f>
        <v>0</v>
      </c>
      <c r="F90" s="30">
        <f>IF('19. Sewer - Capex Input'!$I71=F$3,'19. Sewer - Capex Input'!$G71,IF(E90&gt;1,E90-1,0))</f>
        <v>60</v>
      </c>
      <c r="G90" s="30">
        <f>IF('19. Sewer - Capex Input'!$I71=G$3,'19. Sewer - Capex Input'!$G71,IF(F90&gt;1,F90-1,0))</f>
        <v>59</v>
      </c>
      <c r="H90" s="30">
        <f>IF('19. Sewer - Capex Input'!$I71=H$3,'19. Sewer - Capex Input'!$G71,IF(G90&gt;1,G90-1,0))</f>
        <v>58</v>
      </c>
    </row>
    <row r="91" spans="2:8">
      <c r="B91" s="152">
        <f>'19. Sewer - Capex Input'!F72</f>
        <v>0</v>
      </c>
      <c r="D91" s="30">
        <f>IF('19. Sewer - Capex Input'!$I72=D$3,'19. Sewer - Capex Input'!$G72,IF(C91&gt;1,C91-1,0))</f>
        <v>60</v>
      </c>
      <c r="E91" s="30">
        <f>IF('19. Sewer - Capex Input'!$I72=E$3,'19. Sewer - Capex Input'!$G72,IF(D91&gt;1,D91-1,0))</f>
        <v>59</v>
      </c>
      <c r="F91" s="30">
        <f>IF('19. Sewer - Capex Input'!$I72=F$3,'19. Sewer - Capex Input'!$G72,IF(E91&gt;1,E91-1,0))</f>
        <v>58</v>
      </c>
      <c r="G91" s="30">
        <f>IF('19. Sewer - Capex Input'!$I72=G$3,'19. Sewer - Capex Input'!$G72,IF(F91&gt;1,F91-1,0))</f>
        <v>57</v>
      </c>
      <c r="H91" s="30">
        <f>IF('19. Sewer - Capex Input'!$I72=H$3,'19. Sewer - Capex Input'!$G72,IF(G91&gt;1,G91-1,0))</f>
        <v>56</v>
      </c>
    </row>
    <row r="92" spans="2:8">
      <c r="B92" s="152">
        <f>'19. Sewer - Capex Input'!F73</f>
        <v>0</v>
      </c>
      <c r="D92" s="30">
        <f>IF('19. Sewer - Capex Input'!$I73=D$3,'19. Sewer - Capex Input'!$G73,IF(C92&gt;1,C92-1,0))</f>
        <v>0</v>
      </c>
      <c r="E92" s="30">
        <f>IF('19. Sewer - Capex Input'!$I73=E$3,'19. Sewer - Capex Input'!$G73,IF(D92&gt;1,D92-1,0))</f>
        <v>60</v>
      </c>
      <c r="F92" s="30">
        <f>IF('19. Sewer - Capex Input'!$I73=F$3,'19. Sewer - Capex Input'!$G73,IF(E92&gt;1,E92-1,0))</f>
        <v>59</v>
      </c>
      <c r="G92" s="30">
        <f>IF('19. Sewer - Capex Input'!$I73=G$3,'19. Sewer - Capex Input'!$G73,IF(F92&gt;1,F92-1,0))</f>
        <v>58</v>
      </c>
      <c r="H92" s="30">
        <f>IF('19. Sewer - Capex Input'!$I73=H$3,'19. Sewer - Capex Input'!$G73,IF(G92&gt;1,G92-1,0))</f>
        <v>57</v>
      </c>
    </row>
    <row r="93" spans="2:8">
      <c r="B93" s="152">
        <f>'19. Sewer - Capex Input'!F74</f>
        <v>0</v>
      </c>
      <c r="D93" s="30">
        <f>IF('19. Sewer - Capex Input'!$I74=D$3,'19. Sewer - Capex Input'!$G74,IF(C93&gt;1,C93-1,0))</f>
        <v>80</v>
      </c>
      <c r="E93" s="30">
        <f>IF('19. Sewer - Capex Input'!$I74=E$3,'19. Sewer - Capex Input'!$G74,IF(D93&gt;1,D93-1,0))</f>
        <v>79</v>
      </c>
      <c r="F93" s="30">
        <f>IF('19. Sewer - Capex Input'!$I74=F$3,'19. Sewer - Capex Input'!$G74,IF(E93&gt;1,E93-1,0))</f>
        <v>78</v>
      </c>
      <c r="G93" s="30">
        <f>IF('19. Sewer - Capex Input'!$I74=G$3,'19. Sewer - Capex Input'!$G74,IF(F93&gt;1,F93-1,0))</f>
        <v>77</v>
      </c>
      <c r="H93" s="30">
        <f>IF('19. Sewer - Capex Input'!$I74=H$3,'19. Sewer - Capex Input'!$G74,IF(G93&gt;1,G93-1,0))</f>
        <v>76</v>
      </c>
    </row>
    <row r="94" spans="2:8">
      <c r="B94" s="152">
        <f>'19. Sewer - Capex Input'!F75</f>
        <v>0</v>
      </c>
      <c r="D94" s="30">
        <f>IF('19. Sewer - Capex Input'!$I75=D$3,'19. Sewer - Capex Input'!$G75,IF(C94&gt;1,C94-1,0))</f>
        <v>0</v>
      </c>
      <c r="E94" s="30">
        <f>IF('19. Sewer - Capex Input'!$I75=E$3,'19. Sewer - Capex Input'!$G75,IF(D94&gt;1,D94-1,0))</f>
        <v>80</v>
      </c>
      <c r="F94" s="30">
        <f>IF('19. Sewer - Capex Input'!$I75=F$3,'19. Sewer - Capex Input'!$G75,IF(E94&gt;1,E94-1,0))</f>
        <v>79</v>
      </c>
      <c r="G94" s="30">
        <f>IF('19. Sewer - Capex Input'!$I75=G$3,'19. Sewer - Capex Input'!$G75,IF(F94&gt;1,F94-1,0))</f>
        <v>78</v>
      </c>
      <c r="H94" s="30">
        <f>IF('19. Sewer - Capex Input'!$I75=H$3,'19. Sewer - Capex Input'!$G75,IF(G94&gt;1,G94-1,0))</f>
        <v>77</v>
      </c>
    </row>
    <row r="95" spans="2:8">
      <c r="B95" s="152">
        <f>'19. Sewer - Capex Input'!F76</f>
        <v>0</v>
      </c>
      <c r="D95" s="30">
        <f>IF('19. Sewer - Capex Input'!$I76=D$3,'19. Sewer - Capex Input'!$G76,IF(C95&gt;1,C95-1,0))</f>
        <v>0</v>
      </c>
      <c r="E95" s="30">
        <f>IF('19. Sewer - Capex Input'!$I76=E$3,'19. Sewer - Capex Input'!$G76,IF(D95&gt;1,D95-1,0))</f>
        <v>0</v>
      </c>
      <c r="F95" s="30">
        <f>IF('19. Sewer - Capex Input'!$I76=F$3,'19. Sewer - Capex Input'!$G76,IF(E95&gt;1,E95-1,0))</f>
        <v>80</v>
      </c>
      <c r="G95" s="30">
        <f>IF('19. Sewer - Capex Input'!$I76=G$3,'19. Sewer - Capex Input'!$G76,IF(F95&gt;1,F95-1,0))</f>
        <v>79</v>
      </c>
      <c r="H95" s="30">
        <f>IF('19. Sewer - Capex Input'!$I76=H$3,'19. Sewer - Capex Input'!$G76,IF(G95&gt;1,G95-1,0))</f>
        <v>78</v>
      </c>
    </row>
    <row r="96" spans="2:8">
      <c r="B96" s="152">
        <f>'19. Sewer - Capex Input'!F77</f>
        <v>0</v>
      </c>
      <c r="D96" s="30">
        <f>IF('19. Sewer - Capex Input'!$I77=D$3,'19. Sewer - Capex Input'!$G77,IF(C96&gt;1,C96-1,0))</f>
        <v>0</v>
      </c>
      <c r="E96" s="30">
        <f>IF('19. Sewer - Capex Input'!$I77=E$3,'19. Sewer - Capex Input'!$G77,IF(D96&gt;1,D96-1,0))</f>
        <v>0</v>
      </c>
      <c r="F96" s="30">
        <f>IF('19. Sewer - Capex Input'!$I77=F$3,'19. Sewer - Capex Input'!$G77,IF(E96&gt;1,E96-1,0))</f>
        <v>0</v>
      </c>
      <c r="G96" s="30">
        <f>IF('19. Sewer - Capex Input'!$I77=G$3,'19. Sewer - Capex Input'!$G77,IF(F96&gt;1,F96-1,0))</f>
        <v>80</v>
      </c>
      <c r="H96" s="30">
        <f>IF('19. Sewer - Capex Input'!$I77=H$3,'19. Sewer - Capex Input'!$G77,IF(G96&gt;1,G96-1,0))</f>
        <v>79</v>
      </c>
    </row>
    <row r="97" spans="2:8">
      <c r="B97" s="152">
        <f>'19. Sewer - Capex Input'!F78</f>
        <v>0</v>
      </c>
      <c r="D97" s="30">
        <f>IF('19. Sewer - Capex Input'!$I78=D$3,'19. Sewer - Capex Input'!$G78,IF(C97&gt;1,C97-1,0))</f>
        <v>0</v>
      </c>
      <c r="E97" s="30">
        <f>IF('19. Sewer - Capex Input'!$I78=E$3,'19. Sewer - Capex Input'!$G78,IF(D97&gt;1,D97-1,0))</f>
        <v>0</v>
      </c>
      <c r="F97" s="30">
        <f>IF('19. Sewer - Capex Input'!$I78=F$3,'19. Sewer - Capex Input'!$G78,IF(E97&gt;1,E97-1,0))</f>
        <v>0</v>
      </c>
      <c r="G97" s="30">
        <f>IF('19. Sewer - Capex Input'!$I78=G$3,'19. Sewer - Capex Input'!$G78,IF(F97&gt;1,F97-1,0))</f>
        <v>0</v>
      </c>
      <c r="H97" s="30">
        <f>IF('19. Sewer - Capex Input'!$I78=H$3,'19. Sewer - Capex Input'!$G78,IF(G97&gt;1,G97-1,0))</f>
        <v>80</v>
      </c>
    </row>
    <row r="98" spans="2:8">
      <c r="B98" s="152">
        <f>'19. Sewer - Capex Input'!F79</f>
        <v>0</v>
      </c>
      <c r="D98" s="30">
        <f>IF('19. Sewer - Capex Input'!$I79=D$3,'19. Sewer - Capex Input'!$G79,IF(C98&gt;1,C98-1,0))</f>
        <v>0</v>
      </c>
      <c r="E98" s="30">
        <f>IF('19. Sewer - Capex Input'!$I79=E$3,'19. Sewer - Capex Input'!$G79,IF(D98&gt;1,D98-1,0))</f>
        <v>0</v>
      </c>
      <c r="F98" s="30">
        <f>IF('19. Sewer - Capex Input'!$I79=F$3,'19. Sewer - Capex Input'!$G79,IF(E98&gt;1,E98-1,0))</f>
        <v>0</v>
      </c>
      <c r="G98" s="30">
        <f>IF('19. Sewer - Capex Input'!$I79=G$3,'19. Sewer - Capex Input'!$G79,IF(F98&gt;1,F98-1,0))</f>
        <v>20</v>
      </c>
      <c r="H98" s="30">
        <f>IF('19. Sewer - Capex Input'!$I79=H$3,'19. Sewer - Capex Input'!$G79,IF(G98&gt;1,G98-1,0))</f>
        <v>19</v>
      </c>
    </row>
    <row r="99" spans="2:8">
      <c r="B99" s="152">
        <f>'19. Sewer - Capex Input'!F80</f>
        <v>0</v>
      </c>
      <c r="D99" s="30">
        <f>IF('19. Sewer - Capex Input'!$I80=D$3,'19. Sewer - Capex Input'!$G80,IF(C99&gt;1,C99-1,0))</f>
        <v>0</v>
      </c>
      <c r="E99" s="30">
        <f>IF('19. Sewer - Capex Input'!$I80=E$3,'19. Sewer - Capex Input'!$G80,IF(D99&gt;1,D99-1,0))</f>
        <v>0</v>
      </c>
      <c r="F99" s="30">
        <f>IF('19. Sewer - Capex Input'!$I80=F$3,'19. Sewer - Capex Input'!$G80,IF(E99&gt;1,E99-1,0))</f>
        <v>0</v>
      </c>
      <c r="G99" s="30">
        <f>IF('19. Sewer - Capex Input'!$I80=G$3,'19. Sewer - Capex Input'!$G80,IF(F99&gt;1,F99-1,0))</f>
        <v>0</v>
      </c>
      <c r="H99" s="30">
        <f>IF('19. Sewer - Capex Input'!$I80=H$3,'19. Sewer - Capex Input'!$G80,IF(G99&gt;1,G99-1,0))</f>
        <v>20</v>
      </c>
    </row>
    <row r="100" spans="2:8">
      <c r="B100" s="152">
        <f>'19. Sewer - Capex Input'!F81</f>
        <v>0</v>
      </c>
      <c r="D100" s="30">
        <f>IF('19. Sewer - Capex Input'!$I81=D$3,'19. Sewer - Capex Input'!$G81,IF(C100&gt;1,C100-1,0))</f>
        <v>0</v>
      </c>
      <c r="E100" s="30">
        <f>IF('19. Sewer - Capex Input'!$I81=E$3,'19. Sewer - Capex Input'!$G81,IF(D100&gt;1,D100-1,0))</f>
        <v>0</v>
      </c>
      <c r="F100" s="30">
        <f>IF('19. Sewer - Capex Input'!$I81=F$3,'19. Sewer - Capex Input'!$G81,IF(E100&gt;1,E100-1,0))</f>
        <v>30</v>
      </c>
      <c r="G100" s="30">
        <f>IF('19. Sewer - Capex Input'!$I81=G$3,'19. Sewer - Capex Input'!$G81,IF(F100&gt;1,F100-1,0))</f>
        <v>29</v>
      </c>
      <c r="H100" s="30">
        <f>IF('19. Sewer - Capex Input'!$I81=H$3,'19. Sewer - Capex Input'!$G81,IF(G100&gt;1,G100-1,0))</f>
        <v>28</v>
      </c>
    </row>
    <row r="101" spans="2:8">
      <c r="B101" s="152">
        <f>'19. Sewer - Capex Input'!F82</f>
        <v>0</v>
      </c>
      <c r="D101" s="30">
        <f>IF('19. Sewer - Capex Input'!$I82=D$3,'19. Sewer - Capex Input'!$G82,IF(C101&gt;1,C101-1,0))</f>
        <v>0</v>
      </c>
      <c r="E101" s="30">
        <f>IF('19. Sewer - Capex Input'!$I82=E$3,'19. Sewer - Capex Input'!$G82,IF(D101&gt;1,D101-1,0))</f>
        <v>0</v>
      </c>
      <c r="F101" s="30">
        <f>IF('19. Sewer - Capex Input'!$I82=F$3,'19. Sewer - Capex Input'!$G82,IF(E101&gt;1,E101-1,0))</f>
        <v>0</v>
      </c>
      <c r="G101" s="30">
        <f>IF('19. Sewer - Capex Input'!$I82=G$3,'19. Sewer - Capex Input'!$G82,IF(F101&gt;1,F101-1,0))</f>
        <v>30</v>
      </c>
      <c r="H101" s="30">
        <f>IF('19. Sewer - Capex Input'!$I82=H$3,'19. Sewer - Capex Input'!$G82,IF(G101&gt;1,G101-1,0))</f>
        <v>29</v>
      </c>
    </row>
    <row r="102" spans="2:8">
      <c r="B102" s="152">
        <f>'19. Sewer - Capex Input'!F83</f>
        <v>0</v>
      </c>
      <c r="D102" s="30">
        <f>IF('19. Sewer - Capex Input'!$I83=D$3,'19. Sewer - Capex Input'!$G83,IF(C102&gt;1,C102-1,0))</f>
        <v>0</v>
      </c>
      <c r="E102" s="30">
        <f>IF('19. Sewer - Capex Input'!$I83=E$3,'19. Sewer - Capex Input'!$G83,IF(D102&gt;1,D102-1,0))</f>
        <v>0</v>
      </c>
      <c r="F102" s="30">
        <f>IF('19. Sewer - Capex Input'!$I83=F$3,'19. Sewer - Capex Input'!$G83,IF(E102&gt;1,E102-1,0))</f>
        <v>0</v>
      </c>
      <c r="G102" s="30">
        <f>IF('19. Sewer - Capex Input'!$I83=G$3,'19. Sewer - Capex Input'!$G83,IF(F102&gt;1,F102-1,0))</f>
        <v>0</v>
      </c>
      <c r="H102" s="30">
        <f>IF('19. Sewer - Capex Input'!$I83=H$3,'19. Sewer - Capex Input'!$G83,IF(G102&gt;1,G102-1,0))</f>
        <v>30</v>
      </c>
    </row>
    <row r="103" spans="2:8">
      <c r="B103" s="152">
        <f>'19. Sewer - Capex Input'!F84</f>
        <v>0</v>
      </c>
      <c r="D103" s="30">
        <f>IF('19. Sewer - Capex Input'!$I84=D$3,'19. Sewer - Capex Input'!$G84,IF(C103&gt;1,C103-1,0))</f>
        <v>0</v>
      </c>
      <c r="E103" s="30">
        <f>IF('19. Sewer - Capex Input'!$I84=E$3,'19. Sewer - Capex Input'!$G84,IF(D103&gt;1,D103-1,0))</f>
        <v>0</v>
      </c>
      <c r="F103" s="30">
        <f>IF('19. Sewer - Capex Input'!$I84=F$3,'19. Sewer - Capex Input'!$G84,IF(E103&gt;1,E103-1,0))</f>
        <v>0</v>
      </c>
      <c r="G103" s="30">
        <f>IF('19. Sewer - Capex Input'!$I84=G$3,'19. Sewer - Capex Input'!$G84,IF(F103&gt;1,F103-1,0))</f>
        <v>30</v>
      </c>
      <c r="H103" s="30">
        <f>IF('19. Sewer - Capex Input'!$I84=H$3,'19. Sewer - Capex Input'!$G84,IF(G103&gt;1,G103-1,0))</f>
        <v>29</v>
      </c>
    </row>
    <row r="104" spans="2:8">
      <c r="B104" s="152">
        <f>'19. Sewer - Capex Input'!F85</f>
        <v>0</v>
      </c>
      <c r="D104" s="30">
        <f>IF('19. Sewer - Capex Input'!$I85=D$3,'19. Sewer - Capex Input'!$G85,IF(C104&gt;1,C104-1,0))</f>
        <v>0</v>
      </c>
      <c r="E104" s="30">
        <f>IF('19. Sewer - Capex Input'!$I85=E$3,'19. Sewer - Capex Input'!$G85,IF(D104&gt;1,D104-1,0))</f>
        <v>0</v>
      </c>
      <c r="F104" s="30">
        <f>IF('19. Sewer - Capex Input'!$I85=F$3,'19. Sewer - Capex Input'!$G85,IF(E104&gt;1,E104-1,0))</f>
        <v>0</v>
      </c>
      <c r="G104" s="30">
        <f>IF('19. Sewer - Capex Input'!$I85=G$3,'19. Sewer - Capex Input'!$G85,IF(F104&gt;1,F104-1,0))</f>
        <v>0</v>
      </c>
      <c r="H104" s="30">
        <f>IF('19. Sewer - Capex Input'!$I85=H$3,'19. Sewer - Capex Input'!$G85,IF(G104&gt;1,G104-1,0))</f>
        <v>30</v>
      </c>
    </row>
    <row r="105" spans="2:8">
      <c r="B105" s="152">
        <f>'19. Sewer - Capex Input'!F86</f>
        <v>0</v>
      </c>
      <c r="D105" s="30">
        <f>IF('19. Sewer - Capex Input'!$I86=D$3,'19. Sewer - Capex Input'!$G86,IF(C105&gt;1,C105-1,0))</f>
        <v>80</v>
      </c>
      <c r="E105" s="30">
        <f>IF('19. Sewer - Capex Input'!$I86=E$3,'19. Sewer - Capex Input'!$G86,IF(D105&gt;1,D105-1,0))</f>
        <v>79</v>
      </c>
      <c r="F105" s="30">
        <f>IF('19. Sewer - Capex Input'!$I86=F$3,'19. Sewer - Capex Input'!$G86,IF(E105&gt;1,E105-1,0))</f>
        <v>78</v>
      </c>
      <c r="G105" s="30">
        <f>IF('19. Sewer - Capex Input'!$I86=G$3,'19. Sewer - Capex Input'!$G86,IF(F105&gt;1,F105-1,0))</f>
        <v>77</v>
      </c>
      <c r="H105" s="30">
        <f>IF('19. Sewer - Capex Input'!$I86=H$3,'19. Sewer - Capex Input'!$G86,IF(G105&gt;1,G105-1,0))</f>
        <v>76</v>
      </c>
    </row>
    <row r="106" spans="2:8">
      <c r="B106" s="152">
        <f>'19. Sewer - Capex Input'!F87</f>
        <v>0</v>
      </c>
      <c r="D106" s="30">
        <f>IF('19. Sewer - Capex Input'!$I87=D$3,'19. Sewer - Capex Input'!$G87,IF(C106&gt;1,C106-1,0))</f>
        <v>0</v>
      </c>
      <c r="E106" s="30">
        <f>IF('19. Sewer - Capex Input'!$I87=E$3,'19. Sewer - Capex Input'!$G87,IF(D106&gt;1,D106-1,0))</f>
        <v>80</v>
      </c>
      <c r="F106" s="30">
        <f>IF('19. Sewer - Capex Input'!$I87=F$3,'19. Sewer - Capex Input'!$G87,IF(E106&gt;1,E106-1,0))</f>
        <v>79</v>
      </c>
      <c r="G106" s="30">
        <f>IF('19. Sewer - Capex Input'!$I87=G$3,'19. Sewer - Capex Input'!$G87,IF(F106&gt;1,F106-1,0))</f>
        <v>78</v>
      </c>
      <c r="H106" s="30">
        <f>IF('19. Sewer - Capex Input'!$I87=H$3,'19. Sewer - Capex Input'!$G87,IF(G106&gt;1,G106-1,0))</f>
        <v>77</v>
      </c>
    </row>
    <row r="107" spans="2:8">
      <c r="B107" s="152">
        <f>'19. Sewer - Capex Input'!F88</f>
        <v>0</v>
      </c>
      <c r="D107" s="30">
        <f>IF('19. Sewer - Capex Input'!$I88=D$3,'19. Sewer - Capex Input'!$G88,IF(C107&gt;1,C107-1,0))</f>
        <v>60</v>
      </c>
      <c r="E107" s="30">
        <f>IF('19. Sewer - Capex Input'!$I88=E$3,'19. Sewer - Capex Input'!$G88,IF(D107&gt;1,D107-1,0))</f>
        <v>59</v>
      </c>
      <c r="F107" s="30">
        <f>IF('19. Sewer - Capex Input'!$I88=F$3,'19. Sewer - Capex Input'!$G88,IF(E107&gt;1,E107-1,0))</f>
        <v>58</v>
      </c>
      <c r="G107" s="30">
        <f>IF('19. Sewer - Capex Input'!$I88=G$3,'19. Sewer - Capex Input'!$G88,IF(F107&gt;1,F107-1,0))</f>
        <v>57</v>
      </c>
      <c r="H107" s="30">
        <f>IF('19. Sewer - Capex Input'!$I88=H$3,'19. Sewer - Capex Input'!$G88,IF(G107&gt;1,G107-1,0))</f>
        <v>56</v>
      </c>
    </row>
    <row r="108" spans="2:8">
      <c r="B108" s="152">
        <f>'19. Sewer - Capex Input'!F89</f>
        <v>0</v>
      </c>
      <c r="D108" s="30">
        <f>IF('19. Sewer - Capex Input'!$I89=D$3,'19. Sewer - Capex Input'!$G89,IF(C108&gt;1,C108-1,0))</f>
        <v>0</v>
      </c>
      <c r="E108" s="30">
        <f>IF('19. Sewer - Capex Input'!$I89=E$3,'19. Sewer - Capex Input'!$G89,IF(D108&gt;1,D108-1,0))</f>
        <v>60</v>
      </c>
      <c r="F108" s="30">
        <f>IF('19. Sewer - Capex Input'!$I89=F$3,'19. Sewer - Capex Input'!$G89,IF(E108&gt;1,E108-1,0))</f>
        <v>59</v>
      </c>
      <c r="G108" s="30">
        <f>IF('19. Sewer - Capex Input'!$I89=G$3,'19. Sewer - Capex Input'!$G89,IF(F108&gt;1,F108-1,0))</f>
        <v>58</v>
      </c>
      <c r="H108" s="30">
        <f>IF('19. Sewer - Capex Input'!$I89=H$3,'19. Sewer - Capex Input'!$G89,IF(G108&gt;1,G108-1,0))</f>
        <v>57</v>
      </c>
    </row>
    <row r="109" spans="2:8">
      <c r="B109" s="152">
        <f>'19. Sewer - Capex Input'!F90</f>
        <v>0</v>
      </c>
      <c r="D109" s="30">
        <f>IF('19. Sewer - Capex Input'!$I90=D$3,'19. Sewer - Capex Input'!$G90,IF(C109&gt;1,C109-1,0))</f>
        <v>60</v>
      </c>
      <c r="E109" s="30">
        <f>IF('19. Sewer - Capex Input'!$I90=E$3,'19. Sewer - Capex Input'!$G90,IF(D109&gt;1,D109-1,0))</f>
        <v>59</v>
      </c>
      <c r="F109" s="30">
        <f>IF('19. Sewer - Capex Input'!$I90=F$3,'19. Sewer - Capex Input'!$G90,IF(E109&gt;1,E109-1,0))</f>
        <v>58</v>
      </c>
      <c r="G109" s="30">
        <f>IF('19. Sewer - Capex Input'!$I90=G$3,'19. Sewer - Capex Input'!$G90,IF(F109&gt;1,F109-1,0))</f>
        <v>57</v>
      </c>
      <c r="H109" s="30">
        <f>IF('19. Sewer - Capex Input'!$I90=H$3,'19. Sewer - Capex Input'!$G90,IF(G109&gt;1,G109-1,0))</f>
        <v>56</v>
      </c>
    </row>
    <row r="110" spans="2:8">
      <c r="B110" s="152">
        <f>'19. Sewer - Capex Input'!F91</f>
        <v>0</v>
      </c>
      <c r="D110" s="30">
        <f>IF('19. Sewer - Capex Input'!$I91=D$3,'19. Sewer - Capex Input'!$G91,IF(C110&gt;1,C110-1,0))</f>
        <v>0</v>
      </c>
      <c r="E110" s="30">
        <f>IF('19. Sewer - Capex Input'!$I91=E$3,'19. Sewer - Capex Input'!$G91,IF(D110&gt;1,D110-1,0))</f>
        <v>60</v>
      </c>
      <c r="F110" s="30">
        <f>IF('19. Sewer - Capex Input'!$I91=F$3,'19. Sewer - Capex Input'!$G91,IF(E110&gt;1,E110-1,0))</f>
        <v>59</v>
      </c>
      <c r="G110" s="30">
        <f>IF('19. Sewer - Capex Input'!$I91=G$3,'19. Sewer - Capex Input'!$G91,IF(F110&gt;1,F110-1,0))</f>
        <v>58</v>
      </c>
      <c r="H110" s="30">
        <f>IF('19. Sewer - Capex Input'!$I91=H$3,'19. Sewer - Capex Input'!$G91,IF(G110&gt;1,G110-1,0))</f>
        <v>57</v>
      </c>
    </row>
    <row r="111" spans="2:8">
      <c r="B111" s="152">
        <f>'19. Sewer - Capex Input'!F92</f>
        <v>0</v>
      </c>
      <c r="D111" s="30">
        <f>IF('19. Sewer - Capex Input'!$I92=D$3,'19. Sewer - Capex Input'!$G92,IF(C111&gt;1,C111-1,0))</f>
        <v>0</v>
      </c>
      <c r="E111" s="30">
        <f>IF('19. Sewer - Capex Input'!$I92=E$3,'19. Sewer - Capex Input'!$G92,IF(D111&gt;1,D111-1,0))</f>
        <v>0</v>
      </c>
      <c r="F111" s="30">
        <f>IF('19. Sewer - Capex Input'!$I92=F$3,'19. Sewer - Capex Input'!$G92,IF(E111&gt;1,E111-1,0))</f>
        <v>30</v>
      </c>
      <c r="G111" s="30">
        <f>IF('19. Sewer - Capex Input'!$I92=G$3,'19. Sewer - Capex Input'!$G92,IF(F111&gt;1,F111-1,0))</f>
        <v>29</v>
      </c>
      <c r="H111" s="30">
        <f>IF('19. Sewer - Capex Input'!$I92=H$3,'19. Sewer - Capex Input'!$G92,IF(G111&gt;1,G111-1,0))</f>
        <v>28</v>
      </c>
    </row>
    <row r="112" spans="2:8">
      <c r="B112" s="152">
        <f>'19. Sewer - Capex Input'!F93</f>
        <v>0</v>
      </c>
      <c r="D112" s="30">
        <f>IF('19. Sewer - Capex Input'!$I93=D$3,'19. Sewer - Capex Input'!$G93,IF(C112&gt;1,C112-1,0))</f>
        <v>60</v>
      </c>
      <c r="E112" s="30">
        <f>IF('19. Sewer - Capex Input'!$I93=E$3,'19. Sewer - Capex Input'!$G93,IF(D112&gt;1,D112-1,0))</f>
        <v>59</v>
      </c>
      <c r="F112" s="30">
        <f>IF('19. Sewer - Capex Input'!$I93=F$3,'19. Sewer - Capex Input'!$G93,IF(E112&gt;1,E112-1,0))</f>
        <v>58</v>
      </c>
      <c r="G112" s="30">
        <f>IF('19. Sewer - Capex Input'!$I93=G$3,'19. Sewer - Capex Input'!$G93,IF(F112&gt;1,F112-1,0))</f>
        <v>57</v>
      </c>
      <c r="H112" s="30">
        <f>IF('19. Sewer - Capex Input'!$I93=H$3,'19. Sewer - Capex Input'!$G93,IF(G112&gt;1,G112-1,0))</f>
        <v>56</v>
      </c>
    </row>
    <row r="113" spans="2:8">
      <c r="B113" s="152">
        <f>'19. Sewer - Capex Input'!F94</f>
        <v>0</v>
      </c>
      <c r="D113" s="30">
        <f>IF('19. Sewer - Capex Input'!$I94=D$3,'19. Sewer - Capex Input'!$G94,IF(C113&gt;1,C113-1,0))</f>
        <v>0</v>
      </c>
      <c r="E113" s="30">
        <f>IF('19. Sewer - Capex Input'!$I94=E$3,'19. Sewer - Capex Input'!$G94,IF(D113&gt;1,D113-1,0))</f>
        <v>60</v>
      </c>
      <c r="F113" s="30">
        <f>IF('19. Sewer - Capex Input'!$I94=F$3,'19. Sewer - Capex Input'!$G94,IF(E113&gt;1,E113-1,0))</f>
        <v>59</v>
      </c>
      <c r="G113" s="30">
        <f>IF('19. Sewer - Capex Input'!$I94=G$3,'19. Sewer - Capex Input'!$G94,IF(F113&gt;1,F113-1,0))</f>
        <v>58</v>
      </c>
      <c r="H113" s="30">
        <f>IF('19. Sewer - Capex Input'!$I94=H$3,'19. Sewer - Capex Input'!$G94,IF(G113&gt;1,G113-1,0))</f>
        <v>57</v>
      </c>
    </row>
    <row r="114" spans="2:8">
      <c r="B114" s="152">
        <f>'19. Sewer - Capex Input'!F95</f>
        <v>0</v>
      </c>
      <c r="D114" s="30">
        <f>IF('19. Sewer - Capex Input'!$I95=D$3,'19. Sewer - Capex Input'!$G95,IF(C114&gt;1,C114-1,0))</f>
        <v>0</v>
      </c>
      <c r="E114" s="30">
        <f>IF('19. Sewer - Capex Input'!$I95=E$3,'19. Sewer - Capex Input'!$G95,IF(D114&gt;1,D114-1,0))</f>
        <v>0</v>
      </c>
      <c r="F114" s="30">
        <f>IF('19. Sewer - Capex Input'!$I95=F$3,'19. Sewer - Capex Input'!$G95,IF(E114&gt;1,E114-1,0))</f>
        <v>60</v>
      </c>
      <c r="G114" s="30">
        <f>IF('19. Sewer - Capex Input'!$I95=G$3,'19. Sewer - Capex Input'!$G95,IF(F114&gt;1,F114-1,0))</f>
        <v>59</v>
      </c>
      <c r="H114" s="30">
        <f>IF('19. Sewer - Capex Input'!$I95=H$3,'19. Sewer - Capex Input'!$G95,IF(G114&gt;1,G114-1,0))</f>
        <v>58</v>
      </c>
    </row>
    <row r="115" spans="2:8">
      <c r="B115" s="152">
        <f>'19. Sewer - Capex Input'!F96</f>
        <v>0</v>
      </c>
      <c r="D115" s="30">
        <f>IF('19. Sewer - Capex Input'!$I96=D$3,'19. Sewer - Capex Input'!$G96,IF(C115&gt;1,C115-1,0))</f>
        <v>60</v>
      </c>
      <c r="E115" s="30">
        <f>IF('19. Sewer - Capex Input'!$I96=E$3,'19. Sewer - Capex Input'!$G96,IF(D115&gt;1,D115-1,0))</f>
        <v>59</v>
      </c>
      <c r="F115" s="30">
        <f>IF('19. Sewer - Capex Input'!$I96=F$3,'19. Sewer - Capex Input'!$G96,IF(E115&gt;1,E115-1,0))</f>
        <v>58</v>
      </c>
      <c r="G115" s="30">
        <f>IF('19. Sewer - Capex Input'!$I96=G$3,'19. Sewer - Capex Input'!$G96,IF(F115&gt;1,F115-1,0))</f>
        <v>57</v>
      </c>
      <c r="H115" s="30">
        <f>IF('19. Sewer - Capex Input'!$I96=H$3,'19. Sewer - Capex Input'!$G96,IF(G115&gt;1,G115-1,0))</f>
        <v>56</v>
      </c>
    </row>
    <row r="116" spans="2:8">
      <c r="B116" s="152">
        <f>'19. Sewer - Capex Input'!F97</f>
        <v>0</v>
      </c>
      <c r="D116" s="30">
        <f>IF('19. Sewer - Capex Input'!$I97=D$3,'19. Sewer - Capex Input'!$G97,IF(C116&gt;1,C116-1,0))</f>
        <v>0</v>
      </c>
      <c r="E116" s="30">
        <f>IF('19. Sewer - Capex Input'!$I97=E$3,'19. Sewer - Capex Input'!$G97,IF(D116&gt;1,D116-1,0))</f>
        <v>60</v>
      </c>
      <c r="F116" s="30">
        <f>IF('19. Sewer - Capex Input'!$I97=F$3,'19. Sewer - Capex Input'!$G97,IF(E116&gt;1,E116-1,0))</f>
        <v>59</v>
      </c>
      <c r="G116" s="30">
        <f>IF('19. Sewer - Capex Input'!$I97=G$3,'19. Sewer - Capex Input'!$G97,IF(F116&gt;1,F116-1,0))</f>
        <v>58</v>
      </c>
      <c r="H116" s="30">
        <f>IF('19. Sewer - Capex Input'!$I97=H$3,'19. Sewer - Capex Input'!$G97,IF(G116&gt;1,G116-1,0))</f>
        <v>57</v>
      </c>
    </row>
    <row r="117" spans="2:8">
      <c r="B117" s="152">
        <f>'19. Sewer - Capex Input'!F98</f>
        <v>0</v>
      </c>
      <c r="D117" s="30">
        <f>IF('19. Sewer - Capex Input'!$I98=D$3,'19. Sewer - Capex Input'!$G98,IF(C117&gt;1,C117-1,0))</f>
        <v>0</v>
      </c>
      <c r="E117" s="30">
        <f>IF('19. Sewer - Capex Input'!$I98=E$3,'19. Sewer - Capex Input'!$G98,IF(D117&gt;1,D117-1,0))</f>
        <v>0</v>
      </c>
      <c r="F117" s="30">
        <f>IF('19. Sewer - Capex Input'!$I98=F$3,'19. Sewer - Capex Input'!$G98,IF(E117&gt;1,E117-1,0))</f>
        <v>0</v>
      </c>
      <c r="G117" s="30">
        <f>IF('19. Sewer - Capex Input'!$I98=G$3,'19. Sewer - Capex Input'!$G98,IF(F117&gt;1,F117-1,0))</f>
        <v>60</v>
      </c>
      <c r="H117" s="30">
        <f>IF('19. Sewer - Capex Input'!$I98=H$3,'19. Sewer - Capex Input'!$G98,IF(G117&gt;1,G117-1,0))</f>
        <v>59</v>
      </c>
    </row>
    <row r="118" spans="2:8">
      <c r="B118" s="152">
        <f>'19. Sewer - Capex Input'!F99</f>
        <v>0</v>
      </c>
      <c r="D118" s="30">
        <f>IF('19. Sewer - Capex Input'!$I99=D$3,'19. Sewer - Capex Input'!$G99,IF(C118&gt;1,C118-1,0))</f>
        <v>60</v>
      </c>
      <c r="E118" s="30">
        <f>IF('19. Sewer - Capex Input'!$I99=E$3,'19. Sewer - Capex Input'!$G99,IF(D118&gt;1,D118-1,0))</f>
        <v>59</v>
      </c>
      <c r="F118" s="30">
        <f>IF('19. Sewer - Capex Input'!$I99=F$3,'19. Sewer - Capex Input'!$G99,IF(E118&gt;1,E118-1,0))</f>
        <v>58</v>
      </c>
      <c r="G118" s="30">
        <f>IF('19. Sewer - Capex Input'!$I99=G$3,'19. Sewer - Capex Input'!$G99,IF(F118&gt;1,F118-1,0))</f>
        <v>57</v>
      </c>
      <c r="H118" s="30">
        <f>IF('19. Sewer - Capex Input'!$I99=H$3,'19. Sewer - Capex Input'!$G99,IF(G118&gt;1,G118-1,0))</f>
        <v>56</v>
      </c>
    </row>
    <row r="119" spans="2:8">
      <c r="B119" s="152">
        <f>'19. Sewer - Capex Input'!F100</f>
        <v>0</v>
      </c>
      <c r="D119" s="30">
        <f>IF('19. Sewer - Capex Input'!$I100=D$3,'19. Sewer - Capex Input'!$G100,IF(C119&gt;1,C119-1,0))</f>
        <v>60</v>
      </c>
      <c r="E119" s="30">
        <f>IF('19. Sewer - Capex Input'!$I100=E$3,'19. Sewer - Capex Input'!$G100,IF(D119&gt;1,D119-1,0))</f>
        <v>59</v>
      </c>
      <c r="F119" s="30">
        <f>IF('19. Sewer - Capex Input'!$I100=F$3,'19. Sewer - Capex Input'!$G100,IF(E119&gt;1,E119-1,0))</f>
        <v>58</v>
      </c>
      <c r="G119" s="30">
        <f>IF('19. Sewer - Capex Input'!$I100=G$3,'19. Sewer - Capex Input'!$G100,IF(F119&gt;1,F119-1,0))</f>
        <v>57</v>
      </c>
      <c r="H119" s="30">
        <f>IF('19. Sewer - Capex Input'!$I100=H$3,'19. Sewer - Capex Input'!$G100,IF(G119&gt;1,G119-1,0))</f>
        <v>56</v>
      </c>
    </row>
    <row r="120" spans="2:8">
      <c r="B120" s="152">
        <f>'19. Sewer - Capex Input'!F101</f>
        <v>0</v>
      </c>
      <c r="D120" s="30">
        <f>IF('19. Sewer - Capex Input'!$I101=D$3,'19. Sewer - Capex Input'!$G101,IF(C120&gt;1,C120-1,0))</f>
        <v>80</v>
      </c>
      <c r="E120" s="30">
        <f>IF('19. Sewer - Capex Input'!$I101=E$3,'19. Sewer - Capex Input'!$G101,IF(D120&gt;1,D120-1,0))</f>
        <v>79</v>
      </c>
      <c r="F120" s="30">
        <f>IF('19. Sewer - Capex Input'!$I101=F$3,'19. Sewer - Capex Input'!$G101,IF(E120&gt;1,E120-1,0))</f>
        <v>78</v>
      </c>
      <c r="G120" s="30">
        <f>IF('19. Sewer - Capex Input'!$I101=G$3,'19. Sewer - Capex Input'!$G101,IF(F120&gt;1,F120-1,0))</f>
        <v>77</v>
      </c>
      <c r="H120" s="30">
        <f>IF('19. Sewer - Capex Input'!$I101=H$3,'19. Sewer - Capex Input'!$G101,IF(G120&gt;1,G120-1,0))</f>
        <v>76</v>
      </c>
    </row>
    <row r="121" spans="2:8">
      <c r="B121" s="152">
        <f>'19. Sewer - Capex Input'!F102</f>
        <v>0</v>
      </c>
      <c r="D121" s="30">
        <f>IF('19. Sewer - Capex Input'!$I102=D$3,'19. Sewer - Capex Input'!$G102,IF(C121&gt;1,C121-1,0))</f>
        <v>10</v>
      </c>
      <c r="E121" s="30">
        <f>IF('19. Sewer - Capex Input'!$I102=E$3,'19. Sewer - Capex Input'!$G102,IF(D121&gt;1,D121-1,0))</f>
        <v>9</v>
      </c>
      <c r="F121" s="30">
        <f>IF('19. Sewer - Capex Input'!$I102=F$3,'19. Sewer - Capex Input'!$G102,IF(E121&gt;1,E121-1,0))</f>
        <v>8</v>
      </c>
      <c r="G121" s="30">
        <f>IF('19. Sewer - Capex Input'!$I102=G$3,'19. Sewer - Capex Input'!$G102,IF(F121&gt;1,F121-1,0))</f>
        <v>7</v>
      </c>
      <c r="H121" s="30">
        <f>IF('19. Sewer - Capex Input'!$I102=H$3,'19. Sewer - Capex Input'!$G102,IF(G121&gt;1,G121-1,0))</f>
        <v>6</v>
      </c>
    </row>
    <row r="122" spans="2:8">
      <c r="B122" s="152">
        <f>'19. Sewer - Capex Input'!F103</f>
        <v>0</v>
      </c>
      <c r="D122" s="30">
        <f>IF('19. Sewer - Capex Input'!$I103=D$3,'19. Sewer - Capex Input'!$G103,IF(C122&gt;1,C122-1,0))</f>
        <v>5</v>
      </c>
      <c r="E122" s="30">
        <f>IF('19. Sewer - Capex Input'!$I103=E$3,'19. Sewer - Capex Input'!$G103,IF(D122&gt;1,D122-1,0))</f>
        <v>4</v>
      </c>
      <c r="F122" s="30">
        <f>IF('19. Sewer - Capex Input'!$I103=F$3,'19. Sewer - Capex Input'!$G103,IF(E122&gt;1,E122-1,0))</f>
        <v>3</v>
      </c>
      <c r="G122" s="30">
        <f>IF('19. Sewer - Capex Input'!$I103=G$3,'19. Sewer - Capex Input'!$G103,IF(F122&gt;1,F122-1,0))</f>
        <v>2</v>
      </c>
      <c r="H122" s="30">
        <f>IF('19. Sewer - Capex Input'!$I103=H$3,'19. Sewer - Capex Input'!$G103,IF(G122&gt;1,G122-1,0))</f>
        <v>1</v>
      </c>
    </row>
    <row r="123" spans="2:8">
      <c r="B123" s="152">
        <f>'19. Sewer - Capex Input'!F104</f>
        <v>0</v>
      </c>
      <c r="D123" s="30">
        <f>IF('19. Sewer - Capex Input'!$I104=D$3,'19. Sewer - Capex Input'!$G104,IF(C123&gt;1,C123-1,0))</f>
        <v>0</v>
      </c>
      <c r="E123" s="30">
        <f>IF('19. Sewer - Capex Input'!$I104=E$3,'19. Sewer - Capex Input'!$G104,IF(D123&gt;1,D123-1,0))</f>
        <v>15</v>
      </c>
      <c r="F123" s="30">
        <f>IF('19. Sewer - Capex Input'!$I104=F$3,'19. Sewer - Capex Input'!$G104,IF(E123&gt;1,E123-1,0))</f>
        <v>14</v>
      </c>
      <c r="G123" s="30">
        <f>IF('19. Sewer - Capex Input'!$I104=G$3,'19. Sewer - Capex Input'!$G104,IF(F123&gt;1,F123-1,0))</f>
        <v>13</v>
      </c>
      <c r="H123" s="30">
        <f>IF('19. Sewer - Capex Input'!$I104=H$3,'19. Sewer - Capex Input'!$G104,IF(G123&gt;1,G123-1,0))</f>
        <v>12</v>
      </c>
    </row>
    <row r="124" spans="2:8">
      <c r="B124" s="152">
        <f>'19. Sewer - Capex Input'!F105</f>
        <v>0</v>
      </c>
      <c r="D124" s="30">
        <f>IF('19. Sewer - Capex Input'!$I105=D$3,'19. Sewer - Capex Input'!$G105,IF(C124&gt;1,C124-1,0))</f>
        <v>5</v>
      </c>
      <c r="E124" s="30">
        <f>IF('19. Sewer - Capex Input'!$I105=E$3,'19. Sewer - Capex Input'!$G105,IF(D124&gt;1,D124-1,0))</f>
        <v>4</v>
      </c>
      <c r="F124" s="30">
        <f>IF('19. Sewer - Capex Input'!$I105=F$3,'19. Sewer - Capex Input'!$G105,IF(E124&gt;1,E124-1,0))</f>
        <v>3</v>
      </c>
      <c r="G124" s="30">
        <f>IF('19. Sewer - Capex Input'!$I105=G$3,'19. Sewer - Capex Input'!$G105,IF(F124&gt;1,F124-1,0))</f>
        <v>2</v>
      </c>
      <c r="H124" s="30">
        <f>IF('19. Sewer - Capex Input'!$I105=H$3,'19. Sewer - Capex Input'!$G105,IF(G124&gt;1,G124-1,0))</f>
        <v>1</v>
      </c>
    </row>
    <row r="125" spans="2:8">
      <c r="B125" s="152">
        <f>'19. Sewer - Capex Input'!F106</f>
        <v>0</v>
      </c>
      <c r="D125" s="30">
        <f>IF('19. Sewer - Capex Input'!$I106=D$3,'19. Sewer - Capex Input'!$G106,IF(C125&gt;1,C125-1,0))</f>
        <v>0</v>
      </c>
      <c r="E125" s="30">
        <f>IF('19. Sewer - Capex Input'!$I106=E$3,'19. Sewer - Capex Input'!$G106,IF(D125&gt;1,D125-1,0))</f>
        <v>5</v>
      </c>
      <c r="F125" s="30">
        <f>IF('19. Sewer - Capex Input'!$I106=F$3,'19. Sewer - Capex Input'!$G106,IF(E125&gt;1,E125-1,0))</f>
        <v>4</v>
      </c>
      <c r="G125" s="30">
        <f>IF('19. Sewer - Capex Input'!$I106=G$3,'19. Sewer - Capex Input'!$G106,IF(F125&gt;1,F125-1,0))</f>
        <v>3</v>
      </c>
      <c r="H125" s="30">
        <f>IF('19. Sewer - Capex Input'!$I106=H$3,'19. Sewer - Capex Input'!$G106,IF(G125&gt;1,G125-1,0))</f>
        <v>2</v>
      </c>
    </row>
    <row r="126" spans="2:8">
      <c r="B126" s="152">
        <f>'19. Sewer - Capex Input'!F107</f>
        <v>0</v>
      </c>
      <c r="D126" s="30">
        <f>IF('19. Sewer - Capex Input'!$I107=D$3,'19. Sewer - Capex Input'!$G107,IF(C126&gt;1,C126-1,0))</f>
        <v>0</v>
      </c>
      <c r="E126" s="30">
        <f>IF('19. Sewer - Capex Input'!$I107=E$3,'19. Sewer - Capex Input'!$G107,IF(D126&gt;1,D126-1,0))</f>
        <v>0</v>
      </c>
      <c r="F126" s="30">
        <f>IF('19. Sewer - Capex Input'!$I107=F$3,'19. Sewer - Capex Input'!$G107,IF(E126&gt;1,E126-1,0))</f>
        <v>5</v>
      </c>
      <c r="G126" s="30">
        <f>IF('19. Sewer - Capex Input'!$I107=G$3,'19. Sewer - Capex Input'!$G107,IF(F126&gt;1,F126-1,0))</f>
        <v>4</v>
      </c>
      <c r="H126" s="30">
        <f>IF('19. Sewer - Capex Input'!$I107=H$3,'19. Sewer - Capex Input'!$G107,IF(G126&gt;1,G126-1,0))</f>
        <v>3</v>
      </c>
    </row>
    <row r="127" spans="2:8">
      <c r="B127" s="152">
        <f>'19. Sewer - Capex Input'!F108</f>
        <v>0</v>
      </c>
      <c r="D127" s="30">
        <f>IF('19. Sewer - Capex Input'!$I108=D$3,'19. Sewer - Capex Input'!$G108,IF(C127&gt;1,C127-1,0))</f>
        <v>0</v>
      </c>
      <c r="E127" s="30">
        <f>IF('19. Sewer - Capex Input'!$I108=E$3,'19. Sewer - Capex Input'!$G108,IF(D127&gt;1,D127-1,0))</f>
        <v>0</v>
      </c>
      <c r="F127" s="30">
        <f>IF('19. Sewer - Capex Input'!$I108=F$3,'19. Sewer - Capex Input'!$G108,IF(E127&gt;1,E127-1,0))</f>
        <v>0</v>
      </c>
      <c r="G127" s="30">
        <f>IF('19. Sewer - Capex Input'!$I108=G$3,'19. Sewer - Capex Input'!$G108,IF(F127&gt;1,F127-1,0))</f>
        <v>5</v>
      </c>
      <c r="H127" s="30">
        <f>IF('19. Sewer - Capex Input'!$I108=H$3,'19. Sewer - Capex Input'!$G108,IF(G127&gt;1,G127-1,0))</f>
        <v>4</v>
      </c>
    </row>
    <row r="128" spans="2:8">
      <c r="B128" s="152">
        <f>'19. Sewer - Capex Input'!F109</f>
        <v>0</v>
      </c>
      <c r="D128" s="30">
        <f>IF('19. Sewer - Capex Input'!$I109=D$3,'19. Sewer - Capex Input'!$G109,IF(C128&gt;1,C128-1,0))</f>
        <v>0</v>
      </c>
      <c r="E128" s="30">
        <f>IF('19. Sewer - Capex Input'!$I109=E$3,'19. Sewer - Capex Input'!$G109,IF(D128&gt;1,D128-1,0))</f>
        <v>0</v>
      </c>
      <c r="F128" s="30">
        <f>IF('19. Sewer - Capex Input'!$I109=F$3,'19. Sewer - Capex Input'!$G109,IF(E128&gt;1,E128-1,0))</f>
        <v>0</v>
      </c>
      <c r="G128" s="30">
        <f>IF('19. Sewer - Capex Input'!$I109=G$3,'19. Sewer - Capex Input'!$G109,IF(F128&gt;1,F128-1,0))</f>
        <v>0</v>
      </c>
      <c r="H128" s="30">
        <f>IF('19. Sewer - Capex Input'!$I109=H$3,'19. Sewer - Capex Input'!$G109,IF(G128&gt;1,G128-1,0))</f>
        <v>5</v>
      </c>
    </row>
    <row r="129" spans="2:8">
      <c r="B129" s="152">
        <f>'19. Sewer - Capex Input'!F110</f>
        <v>0</v>
      </c>
      <c r="D129" s="30">
        <f>IF('19. Sewer - Capex Input'!$I110=D$3,'19. Sewer - Capex Input'!$G110,IF(C129&gt;1,C129-1,0))</f>
        <v>5</v>
      </c>
      <c r="E129" s="30">
        <f>IF('19. Sewer - Capex Input'!$I110=E$3,'19. Sewer - Capex Input'!$G110,IF(D129&gt;1,D129-1,0))</f>
        <v>4</v>
      </c>
      <c r="F129" s="30">
        <f>IF('19. Sewer - Capex Input'!$I110=F$3,'19. Sewer - Capex Input'!$G110,IF(E129&gt;1,E129-1,0))</f>
        <v>3</v>
      </c>
      <c r="G129" s="30">
        <f>IF('19. Sewer - Capex Input'!$I110=G$3,'19. Sewer - Capex Input'!$G110,IF(F129&gt;1,F129-1,0))</f>
        <v>2</v>
      </c>
      <c r="H129" s="30">
        <f>IF('19. Sewer - Capex Input'!$I110=H$3,'19. Sewer - Capex Input'!$G110,IF(G129&gt;1,G129-1,0))</f>
        <v>1</v>
      </c>
    </row>
    <row r="130" spans="2:8">
      <c r="B130" s="152">
        <f>'19. Sewer - Capex Input'!F111</f>
        <v>0</v>
      </c>
      <c r="D130" s="30">
        <f>IF('19. Sewer - Capex Input'!$I111=D$3,'19. Sewer - Capex Input'!$G111,IF(C130&gt;1,C130-1,0))</f>
        <v>0</v>
      </c>
      <c r="E130" s="30">
        <f>IF('19. Sewer - Capex Input'!$I111=E$3,'19. Sewer - Capex Input'!$G111,IF(D130&gt;1,D130-1,0))</f>
        <v>40</v>
      </c>
      <c r="F130" s="30">
        <f>IF('19. Sewer - Capex Input'!$I111=F$3,'19. Sewer - Capex Input'!$G111,IF(E130&gt;1,E130-1,0))</f>
        <v>39</v>
      </c>
      <c r="G130" s="30">
        <f>IF('19. Sewer - Capex Input'!$I111=G$3,'19. Sewer - Capex Input'!$G111,IF(F130&gt;1,F130-1,0))</f>
        <v>38</v>
      </c>
      <c r="H130" s="30">
        <f>IF('19. Sewer - Capex Input'!$I111=H$3,'19. Sewer - Capex Input'!$G111,IF(G130&gt;1,G130-1,0))</f>
        <v>37</v>
      </c>
    </row>
    <row r="131" spans="2:8">
      <c r="B131" s="152">
        <f>'19. Sewer - Capex Input'!F112</f>
        <v>0</v>
      </c>
      <c r="D131" s="30">
        <f>IF('19. Sewer - Capex Input'!$I112=D$3,'19. Sewer - Capex Input'!$G112,IF(C131&gt;1,C131-1,0))</f>
        <v>0</v>
      </c>
      <c r="E131" s="30">
        <f>IF('19. Sewer - Capex Input'!$I112=E$3,'19. Sewer - Capex Input'!$G112,IF(D131&gt;1,D131-1,0))</f>
        <v>40</v>
      </c>
      <c r="F131" s="30">
        <f>IF('19. Sewer - Capex Input'!$I112=F$3,'19. Sewer - Capex Input'!$G112,IF(E131&gt;1,E131-1,0))</f>
        <v>39</v>
      </c>
      <c r="G131" s="30">
        <f>IF('19. Sewer - Capex Input'!$I112=G$3,'19. Sewer - Capex Input'!$G112,IF(F131&gt;1,F131-1,0))</f>
        <v>38</v>
      </c>
      <c r="H131" s="30">
        <f>IF('19. Sewer - Capex Input'!$I112=H$3,'19. Sewer - Capex Input'!$G112,IF(G131&gt;1,G131-1,0))</f>
        <v>37</v>
      </c>
    </row>
    <row r="132" spans="2:8">
      <c r="B132" s="152">
        <f>'19. Sewer - Capex Input'!F113</f>
        <v>0</v>
      </c>
      <c r="D132" s="30">
        <f>IF('19. Sewer - Capex Input'!$I113=D$3,'19. Sewer - Capex Input'!$G113,IF(C132&gt;1,C132-1,0))</f>
        <v>0</v>
      </c>
      <c r="E132" s="30">
        <f>IF('19. Sewer - Capex Input'!$I113=E$3,'19. Sewer - Capex Input'!$G113,IF(D132&gt;1,D132-1,0))</f>
        <v>40</v>
      </c>
      <c r="F132" s="30">
        <f>IF('19. Sewer - Capex Input'!$I113=F$3,'19. Sewer - Capex Input'!$G113,IF(E132&gt;1,E132-1,0))</f>
        <v>39</v>
      </c>
      <c r="G132" s="30">
        <f>IF('19. Sewer - Capex Input'!$I113=G$3,'19. Sewer - Capex Input'!$G113,IF(F132&gt;1,F132-1,0))</f>
        <v>38</v>
      </c>
      <c r="H132" s="30">
        <f>IF('19. Sewer - Capex Input'!$I113=H$3,'19. Sewer - Capex Input'!$G113,IF(G132&gt;1,G132-1,0))</f>
        <v>37</v>
      </c>
    </row>
    <row r="133" spans="2:8">
      <c r="B133" s="152">
        <f>'19. Sewer - Capex Input'!F114</f>
        <v>0</v>
      </c>
      <c r="D133" s="30">
        <f>IF('19. Sewer - Capex Input'!$I114=D$3,'19. Sewer - Capex Input'!$G114,IF(C133&gt;1,C133-1,0))</f>
        <v>0</v>
      </c>
      <c r="E133" s="30">
        <f>IF('19. Sewer - Capex Input'!$I114=E$3,'19. Sewer - Capex Input'!$G114,IF(D133&gt;1,D133-1,0))</f>
        <v>40</v>
      </c>
      <c r="F133" s="30">
        <f>IF('19. Sewer - Capex Input'!$I114=F$3,'19. Sewer - Capex Input'!$G114,IF(E133&gt;1,E133-1,0))</f>
        <v>39</v>
      </c>
      <c r="G133" s="30">
        <f>IF('19. Sewer - Capex Input'!$I114=G$3,'19. Sewer - Capex Input'!$G114,IF(F133&gt;1,F133-1,0))</f>
        <v>38</v>
      </c>
      <c r="H133" s="30">
        <f>IF('19. Sewer - Capex Input'!$I114=H$3,'19. Sewer - Capex Input'!$G114,IF(G133&gt;1,G133-1,0))</f>
        <v>37</v>
      </c>
    </row>
    <row r="134" spans="2:8">
      <c r="B134" s="152">
        <f>'19. Sewer - Capex Input'!F115</f>
        <v>0</v>
      </c>
      <c r="D134" s="30">
        <f>IF('19. Sewer - Capex Input'!$I115=D$3,'19. Sewer - Capex Input'!$G115,IF(C134&gt;1,C134-1,0))</f>
        <v>0</v>
      </c>
      <c r="E134" s="30">
        <f>IF('19. Sewer - Capex Input'!$I115=E$3,'19. Sewer - Capex Input'!$G115,IF(D134&gt;1,D134-1,0))</f>
        <v>40</v>
      </c>
      <c r="F134" s="30">
        <f>IF('19. Sewer - Capex Input'!$I115=F$3,'19. Sewer - Capex Input'!$G115,IF(E134&gt;1,E134-1,0))</f>
        <v>39</v>
      </c>
      <c r="G134" s="30">
        <f>IF('19. Sewer - Capex Input'!$I115=G$3,'19. Sewer - Capex Input'!$G115,IF(F134&gt;1,F134-1,0))</f>
        <v>38</v>
      </c>
      <c r="H134" s="30">
        <f>IF('19. Sewer - Capex Input'!$I115=H$3,'19. Sewer - Capex Input'!$G115,IF(G134&gt;1,G134-1,0))</f>
        <v>37</v>
      </c>
    </row>
    <row r="135" spans="2:8">
      <c r="B135" s="152">
        <f>'19. Sewer - Capex Input'!F116</f>
        <v>0</v>
      </c>
      <c r="D135" s="30">
        <f>IF('19. Sewer - Capex Input'!$I116=D$3,'19. Sewer - Capex Input'!$G116,IF(C135&gt;1,C135-1,0))</f>
        <v>0</v>
      </c>
      <c r="E135" s="30">
        <f>IF('19. Sewer - Capex Input'!$I116=E$3,'19. Sewer - Capex Input'!$G116,IF(D135&gt;1,D135-1,0))</f>
        <v>40</v>
      </c>
      <c r="F135" s="30">
        <f>IF('19. Sewer - Capex Input'!$I116=F$3,'19. Sewer - Capex Input'!$G116,IF(E135&gt;1,E135-1,0))</f>
        <v>39</v>
      </c>
      <c r="G135" s="30">
        <f>IF('19. Sewer - Capex Input'!$I116=G$3,'19. Sewer - Capex Input'!$G116,IF(F135&gt;1,F135-1,0))</f>
        <v>38</v>
      </c>
      <c r="H135" s="30">
        <f>IF('19. Sewer - Capex Input'!$I116=H$3,'19. Sewer - Capex Input'!$G116,IF(G135&gt;1,G135-1,0))</f>
        <v>37</v>
      </c>
    </row>
    <row r="136" spans="2:8">
      <c r="B136" s="152">
        <f>'19. Sewer - Capex Input'!F117</f>
        <v>0</v>
      </c>
      <c r="D136" s="30">
        <f>IF('19. Sewer - Capex Input'!$I117=D$3,'19. Sewer - Capex Input'!$G117,IF(C136&gt;1,C136-1,0))</f>
        <v>80</v>
      </c>
      <c r="E136" s="30">
        <f>IF('19. Sewer - Capex Input'!$I117=E$3,'19. Sewer - Capex Input'!$G117,IF(D136&gt;1,D136-1,0))</f>
        <v>79</v>
      </c>
      <c r="F136" s="30">
        <f>IF('19. Sewer - Capex Input'!$I117=F$3,'19. Sewer - Capex Input'!$G117,IF(E136&gt;1,E136-1,0))</f>
        <v>78</v>
      </c>
      <c r="G136" s="30">
        <f>IF('19. Sewer - Capex Input'!$I117=G$3,'19. Sewer - Capex Input'!$G117,IF(F136&gt;1,F136-1,0))</f>
        <v>77</v>
      </c>
      <c r="H136" s="30">
        <f>IF('19. Sewer - Capex Input'!$I117=H$3,'19. Sewer - Capex Input'!$G117,IF(G136&gt;1,G136-1,0))</f>
        <v>76</v>
      </c>
    </row>
    <row r="137" spans="2:8">
      <c r="B137" s="152">
        <f>'19. Sewer - Capex Input'!F118</f>
        <v>0</v>
      </c>
      <c r="D137" s="30">
        <f>IF('19. Sewer - Capex Input'!$I118=D$3,'19. Sewer - Capex Input'!$G118,IF(C137&gt;1,C137-1,0))</f>
        <v>0</v>
      </c>
      <c r="E137" s="30">
        <f>IF('19. Sewer - Capex Input'!$I118=E$3,'19. Sewer - Capex Input'!$G118,IF(D137&gt;1,D137-1,0))</f>
        <v>5</v>
      </c>
      <c r="F137" s="30">
        <f>IF('19. Sewer - Capex Input'!$I118=F$3,'19. Sewer - Capex Input'!$G118,IF(E137&gt;1,E137-1,0))</f>
        <v>4</v>
      </c>
      <c r="G137" s="30">
        <f>IF('19. Sewer - Capex Input'!$I118=G$3,'19. Sewer - Capex Input'!$G118,IF(F137&gt;1,F137-1,0))</f>
        <v>3</v>
      </c>
      <c r="H137" s="30">
        <f>IF('19. Sewer - Capex Input'!$I118=H$3,'19. Sewer - Capex Input'!$G118,IF(G137&gt;1,G137-1,0))</f>
        <v>2</v>
      </c>
    </row>
    <row r="138" spans="2:8">
      <c r="B138" s="152">
        <f>'19. Sewer - Capex Input'!F119</f>
        <v>0</v>
      </c>
      <c r="D138" s="30">
        <f>IF('19. Sewer - Capex Input'!$I119=D$3,'19. Sewer - Capex Input'!$G119,IF(C138&gt;1,C138-1,0))</f>
        <v>20</v>
      </c>
      <c r="E138" s="30">
        <f>IF('19. Sewer - Capex Input'!$I119=E$3,'19. Sewer - Capex Input'!$G119,IF(D138&gt;1,D138-1,0))</f>
        <v>19</v>
      </c>
      <c r="F138" s="30">
        <f>IF('19. Sewer - Capex Input'!$I119=F$3,'19. Sewer - Capex Input'!$G119,IF(E138&gt;1,E138-1,0))</f>
        <v>18</v>
      </c>
      <c r="G138" s="30">
        <f>IF('19. Sewer - Capex Input'!$I119=G$3,'19. Sewer - Capex Input'!$G119,IF(F138&gt;1,F138-1,0))</f>
        <v>17</v>
      </c>
      <c r="H138" s="30">
        <f>IF('19. Sewer - Capex Input'!$I119=H$3,'19. Sewer - Capex Input'!$G119,IF(G138&gt;1,G138-1,0))</f>
        <v>16</v>
      </c>
    </row>
    <row r="139" spans="2:8">
      <c r="B139" s="152">
        <f>'19. Sewer - Capex Input'!F120</f>
        <v>0</v>
      </c>
      <c r="D139" s="30">
        <f>IF('19. Sewer - Capex Input'!$I120=D$3,'19. Sewer - Capex Input'!$G120,IF(C139&gt;1,C139-1,0))</f>
        <v>80</v>
      </c>
      <c r="E139" s="30">
        <f>IF('19. Sewer - Capex Input'!$I120=E$3,'19. Sewer - Capex Input'!$G120,IF(D139&gt;1,D139-1,0))</f>
        <v>79</v>
      </c>
      <c r="F139" s="30">
        <f>IF('19. Sewer - Capex Input'!$I120=F$3,'19. Sewer - Capex Input'!$G120,IF(E139&gt;1,E139-1,0))</f>
        <v>78</v>
      </c>
      <c r="G139" s="30">
        <f>IF('19. Sewer - Capex Input'!$I120=G$3,'19. Sewer - Capex Input'!$G120,IF(F139&gt;1,F139-1,0))</f>
        <v>77</v>
      </c>
      <c r="H139" s="30">
        <f>IF('19. Sewer - Capex Input'!$I120=H$3,'19. Sewer - Capex Input'!$G120,IF(G139&gt;1,G139-1,0))</f>
        <v>76</v>
      </c>
    </row>
    <row r="140" spans="2:8">
      <c r="B140" s="152">
        <f>'19. Sewer - Capex Input'!F121</f>
        <v>0</v>
      </c>
      <c r="D140" s="30">
        <f>IF('19. Sewer - Capex Input'!$I121=D$3,'19. Sewer - Capex Input'!$G121,IF(C140&gt;1,C140-1,0))</f>
        <v>40</v>
      </c>
      <c r="E140" s="30">
        <f>IF('19. Sewer - Capex Input'!$I121=E$3,'19. Sewer - Capex Input'!$G121,IF(D140&gt;1,D140-1,0))</f>
        <v>39</v>
      </c>
      <c r="F140" s="30">
        <f>IF('19. Sewer - Capex Input'!$I121=F$3,'19. Sewer - Capex Input'!$G121,IF(E140&gt;1,E140-1,0))</f>
        <v>38</v>
      </c>
      <c r="G140" s="30">
        <f>IF('19. Sewer - Capex Input'!$I121=G$3,'19. Sewer - Capex Input'!$G121,IF(F140&gt;1,F140-1,0))</f>
        <v>37</v>
      </c>
      <c r="H140" s="30">
        <f>IF('19. Sewer - Capex Input'!$I121=H$3,'19. Sewer - Capex Input'!$G121,IF(G140&gt;1,G140-1,0))</f>
        <v>36</v>
      </c>
    </row>
    <row r="141" spans="2:8">
      <c r="B141" s="152">
        <f>'19. Sewer - Capex Input'!F122</f>
        <v>0</v>
      </c>
      <c r="D141" s="30">
        <f>IF('19. Sewer - Capex Input'!$I122=D$3,'19. Sewer - Capex Input'!$G122,IF(C141&gt;1,C141-1,0))</f>
        <v>60</v>
      </c>
      <c r="E141" s="30">
        <f>IF('19. Sewer - Capex Input'!$I122=E$3,'19. Sewer - Capex Input'!$G122,IF(D141&gt;1,D141-1,0))</f>
        <v>59</v>
      </c>
      <c r="F141" s="30">
        <f>IF('19. Sewer - Capex Input'!$I122=F$3,'19. Sewer - Capex Input'!$G122,IF(E141&gt;1,E141-1,0))</f>
        <v>58</v>
      </c>
      <c r="G141" s="30">
        <f>IF('19. Sewer - Capex Input'!$I122=G$3,'19. Sewer - Capex Input'!$G122,IF(F141&gt;1,F141-1,0))</f>
        <v>57</v>
      </c>
      <c r="H141" s="30">
        <f>IF('19. Sewer - Capex Input'!$I122=H$3,'19. Sewer - Capex Input'!$G122,IF(G141&gt;1,G141-1,0))</f>
        <v>56</v>
      </c>
    </row>
    <row r="142" spans="2:8">
      <c r="B142" s="152">
        <f>'19. Sewer - Capex Input'!F123</f>
        <v>0</v>
      </c>
      <c r="D142" s="30">
        <f>IF('19. Sewer - Capex Input'!$I123=D$3,'19. Sewer - Capex Input'!$G123,IF(C142&gt;1,C142-1,0))</f>
        <v>60</v>
      </c>
      <c r="E142" s="30">
        <f>IF('19. Sewer - Capex Input'!$I123=E$3,'19. Sewer - Capex Input'!$G123,IF(D142&gt;1,D142-1,0))</f>
        <v>59</v>
      </c>
      <c r="F142" s="30">
        <f>IF('19. Sewer - Capex Input'!$I123=F$3,'19. Sewer - Capex Input'!$G123,IF(E142&gt;1,E142-1,0))</f>
        <v>58</v>
      </c>
      <c r="G142" s="30">
        <f>IF('19. Sewer - Capex Input'!$I123=G$3,'19. Sewer - Capex Input'!$G123,IF(F142&gt;1,F142-1,0))</f>
        <v>57</v>
      </c>
      <c r="H142" s="30">
        <f>IF('19. Sewer - Capex Input'!$I123=H$3,'19. Sewer - Capex Input'!$G123,IF(G142&gt;1,G142-1,0))</f>
        <v>56</v>
      </c>
    </row>
    <row r="143" spans="2:8">
      <c r="B143" s="152">
        <f>'19. Sewer - Capex Input'!F124</f>
        <v>0</v>
      </c>
      <c r="D143" s="30">
        <f>IF('19. Sewer - Capex Input'!$I124=D$3,'19. Sewer - Capex Input'!$G124,IF(C143&gt;1,C143-1,0))</f>
        <v>0</v>
      </c>
      <c r="E143" s="30">
        <f>IF('19. Sewer - Capex Input'!$I124=E$3,'19. Sewer - Capex Input'!$G124,IF(D143&gt;1,D143-1,0))</f>
        <v>60</v>
      </c>
      <c r="F143" s="30">
        <f>IF('19. Sewer - Capex Input'!$I124=F$3,'19. Sewer - Capex Input'!$G124,IF(E143&gt;1,E143-1,0))</f>
        <v>59</v>
      </c>
      <c r="G143" s="30">
        <f>IF('19. Sewer - Capex Input'!$I124=G$3,'19. Sewer - Capex Input'!$G124,IF(F143&gt;1,F143-1,0))</f>
        <v>58</v>
      </c>
      <c r="H143" s="30">
        <f>IF('19. Sewer - Capex Input'!$I124=H$3,'19. Sewer - Capex Input'!$G124,IF(G143&gt;1,G143-1,0))</f>
        <v>57</v>
      </c>
    </row>
    <row r="144" spans="2:8">
      <c r="B144" s="152">
        <f>'19. Sewer - Capex Input'!F125</f>
        <v>0</v>
      </c>
      <c r="D144" s="30">
        <f>IF('19. Sewer - Capex Input'!$I125=D$3,'19. Sewer - Capex Input'!$G125,IF(C144&gt;1,C144-1,0))</f>
        <v>0</v>
      </c>
      <c r="E144" s="30">
        <f>IF('19. Sewer - Capex Input'!$I125=E$3,'19. Sewer - Capex Input'!$G125,IF(D144&gt;1,D144-1,0))</f>
        <v>0</v>
      </c>
      <c r="F144" s="30">
        <f>IF('19. Sewer - Capex Input'!$I125=F$3,'19. Sewer - Capex Input'!$G125,IF(E144&gt;1,E144-1,0))</f>
        <v>60</v>
      </c>
      <c r="G144" s="30">
        <f>IF('19. Sewer - Capex Input'!$I125=G$3,'19. Sewer - Capex Input'!$G125,IF(F144&gt;1,F144-1,0))</f>
        <v>59</v>
      </c>
      <c r="H144" s="30">
        <f>IF('19. Sewer - Capex Input'!$I125=H$3,'19. Sewer - Capex Input'!$G125,IF(G144&gt;1,G144-1,0))</f>
        <v>58</v>
      </c>
    </row>
    <row r="145" spans="2:8">
      <c r="B145" s="152">
        <f>'19. Sewer - Capex Input'!F126</f>
        <v>0</v>
      </c>
      <c r="D145" s="30">
        <f>IF('19. Sewer - Capex Input'!$I126=D$3,'19. Sewer - Capex Input'!$G126,IF(C145&gt;1,C145-1,0))</f>
        <v>0</v>
      </c>
      <c r="E145" s="30">
        <f>IF('19. Sewer - Capex Input'!$I126=E$3,'19. Sewer - Capex Input'!$G126,IF(D145&gt;1,D145-1,0))</f>
        <v>0</v>
      </c>
      <c r="F145" s="30">
        <f>IF('19. Sewer - Capex Input'!$I126=F$3,'19. Sewer - Capex Input'!$G126,IF(E145&gt;1,E145-1,0))</f>
        <v>0</v>
      </c>
      <c r="G145" s="30">
        <f>IF('19. Sewer - Capex Input'!$I126=G$3,'19. Sewer - Capex Input'!$G126,IF(F145&gt;1,F145-1,0))</f>
        <v>60</v>
      </c>
      <c r="H145" s="30">
        <f>IF('19. Sewer - Capex Input'!$I126=H$3,'19. Sewer - Capex Input'!$G126,IF(G145&gt;1,G145-1,0))</f>
        <v>59</v>
      </c>
    </row>
    <row r="146" spans="2:8">
      <c r="B146" s="152">
        <f>'19. Sewer - Capex Input'!F127</f>
        <v>0</v>
      </c>
      <c r="D146" s="30">
        <f>IF('19. Sewer - Capex Input'!$I127=D$3,'19. Sewer - Capex Input'!$G127,IF(C146&gt;1,C146-1,0))</f>
        <v>0</v>
      </c>
      <c r="E146" s="30">
        <f>IF('19. Sewer - Capex Input'!$I127=E$3,'19. Sewer - Capex Input'!$G127,IF(D146&gt;1,D146-1,0))</f>
        <v>0</v>
      </c>
      <c r="F146" s="30">
        <f>IF('19. Sewer - Capex Input'!$I127=F$3,'19. Sewer - Capex Input'!$G127,IF(E146&gt;1,E146-1,0))</f>
        <v>0</v>
      </c>
      <c r="G146" s="30">
        <f>IF('19. Sewer - Capex Input'!$I127=G$3,'19. Sewer - Capex Input'!$G127,IF(F146&gt;1,F146-1,0))</f>
        <v>0</v>
      </c>
      <c r="H146" s="30">
        <f>IF('19. Sewer - Capex Input'!$I127=H$3,'19. Sewer - Capex Input'!$G127,IF(G146&gt;1,G146-1,0))</f>
        <v>60</v>
      </c>
    </row>
    <row r="147" spans="2:8">
      <c r="B147" s="152">
        <f>'19. Sewer - Capex Input'!F128</f>
        <v>0</v>
      </c>
      <c r="D147" s="30">
        <f>IF('19. Sewer - Capex Input'!$I128=D$3,'19. Sewer - Capex Input'!$G128,IF(C147&gt;1,C147-1,0))</f>
        <v>40</v>
      </c>
      <c r="E147" s="30">
        <f>IF('19. Sewer - Capex Input'!$I128=E$3,'19. Sewer - Capex Input'!$G128,IF(D147&gt;1,D147-1,0))</f>
        <v>39</v>
      </c>
      <c r="F147" s="30">
        <f>IF('19. Sewer - Capex Input'!$I128=F$3,'19. Sewer - Capex Input'!$G128,IF(E147&gt;1,E147-1,0))</f>
        <v>38</v>
      </c>
      <c r="G147" s="30">
        <f>IF('19. Sewer - Capex Input'!$I128=G$3,'19. Sewer - Capex Input'!$G128,IF(F147&gt;1,F147-1,0))</f>
        <v>37</v>
      </c>
      <c r="H147" s="30">
        <f>IF('19. Sewer - Capex Input'!$I128=H$3,'19. Sewer - Capex Input'!$G128,IF(G147&gt;1,G147-1,0))</f>
        <v>36</v>
      </c>
    </row>
    <row r="148" spans="2:8">
      <c r="B148" s="152">
        <f>'19. Sewer - Capex Input'!F129</f>
        <v>0</v>
      </c>
      <c r="D148" s="30">
        <f>IF('19. Sewer - Capex Input'!$I129=D$3,'19. Sewer - Capex Input'!$G129,IF(C148&gt;1,C148-1,0))</f>
        <v>60</v>
      </c>
      <c r="E148" s="30">
        <f>IF('19. Sewer - Capex Input'!$I129=E$3,'19. Sewer - Capex Input'!$G129,IF(D148&gt;1,D148-1,0))</f>
        <v>59</v>
      </c>
      <c r="F148" s="30">
        <f>IF('19. Sewer - Capex Input'!$I129=F$3,'19. Sewer - Capex Input'!$G129,IF(E148&gt;1,E148-1,0))</f>
        <v>58</v>
      </c>
      <c r="G148" s="30">
        <f>IF('19. Sewer - Capex Input'!$I129=G$3,'19. Sewer - Capex Input'!$G129,IF(F148&gt;1,F148-1,0))</f>
        <v>57</v>
      </c>
      <c r="H148" s="30">
        <f>IF('19. Sewer - Capex Input'!$I129=H$3,'19. Sewer - Capex Input'!$G129,IF(G148&gt;1,G148-1,0))</f>
        <v>56</v>
      </c>
    </row>
    <row r="149" spans="2:8">
      <c r="B149" s="152">
        <f>'19. Sewer - Capex Input'!F130</f>
        <v>0</v>
      </c>
      <c r="D149" s="30">
        <f>IF('19. Sewer - Capex Input'!$I130=D$3,'19. Sewer - Capex Input'!$G130,IF(C149&gt;1,C149-1,0))</f>
        <v>0</v>
      </c>
      <c r="E149" s="30">
        <f>IF('19. Sewer - Capex Input'!$I130=E$3,'19. Sewer - Capex Input'!$G130,IF(D149&gt;1,D149-1,0))</f>
        <v>60</v>
      </c>
      <c r="F149" s="30">
        <f>IF('19. Sewer - Capex Input'!$I130=F$3,'19. Sewer - Capex Input'!$G130,IF(E149&gt;1,E149-1,0))</f>
        <v>59</v>
      </c>
      <c r="G149" s="30">
        <f>IF('19. Sewer - Capex Input'!$I130=G$3,'19. Sewer - Capex Input'!$G130,IF(F149&gt;1,F149-1,0))</f>
        <v>58</v>
      </c>
      <c r="H149" s="30">
        <f>IF('19. Sewer - Capex Input'!$I130=H$3,'19. Sewer - Capex Input'!$G130,IF(G149&gt;1,G149-1,0))</f>
        <v>57</v>
      </c>
    </row>
    <row r="150" spans="2:8">
      <c r="B150" s="152">
        <f>'19. Sewer - Capex Input'!F131</f>
        <v>0</v>
      </c>
      <c r="D150" s="30">
        <f>IF('19. Sewer - Capex Input'!$I131=D$3,'19. Sewer - Capex Input'!$G131,IF(C150&gt;1,C150-1,0))</f>
        <v>20</v>
      </c>
      <c r="E150" s="30">
        <f>IF('19. Sewer - Capex Input'!$I131=E$3,'19. Sewer - Capex Input'!$G131,IF(D150&gt;1,D150-1,0))</f>
        <v>19</v>
      </c>
      <c r="F150" s="30">
        <f>IF('19. Sewer - Capex Input'!$I131=F$3,'19. Sewer - Capex Input'!$G131,IF(E150&gt;1,E150-1,0))</f>
        <v>18</v>
      </c>
      <c r="G150" s="30">
        <f>IF('19. Sewer - Capex Input'!$I131=G$3,'19. Sewer - Capex Input'!$G131,IF(F150&gt;1,F150-1,0))</f>
        <v>17</v>
      </c>
      <c r="H150" s="30">
        <f>IF('19. Sewer - Capex Input'!$I131=H$3,'19. Sewer - Capex Input'!$G131,IF(G150&gt;1,G150-1,0))</f>
        <v>16</v>
      </c>
    </row>
    <row r="151" spans="2:8">
      <c r="B151" s="152">
        <f>'19. Sewer - Capex Input'!F132</f>
        <v>0</v>
      </c>
      <c r="D151" s="30">
        <f>IF('19. Sewer - Capex Input'!$I132=D$3,'19. Sewer - Capex Input'!$G132,IF(C151&gt;1,C151-1,0))</f>
        <v>0</v>
      </c>
      <c r="E151" s="30">
        <f>IF('19. Sewer - Capex Input'!$I132=E$3,'19. Sewer - Capex Input'!$G132,IF(D151&gt;1,D151-1,0))</f>
        <v>20</v>
      </c>
      <c r="F151" s="30">
        <f>IF('19. Sewer - Capex Input'!$I132=F$3,'19. Sewer - Capex Input'!$G132,IF(E151&gt;1,E151-1,0))</f>
        <v>19</v>
      </c>
      <c r="G151" s="30">
        <f>IF('19. Sewer - Capex Input'!$I132=G$3,'19. Sewer - Capex Input'!$G132,IF(F151&gt;1,F151-1,0))</f>
        <v>18</v>
      </c>
      <c r="H151" s="30">
        <f>IF('19. Sewer - Capex Input'!$I132=H$3,'19. Sewer - Capex Input'!$G132,IF(G151&gt;1,G151-1,0))</f>
        <v>17</v>
      </c>
    </row>
    <row r="152" spans="2:8">
      <c r="B152" s="152">
        <f>'19. Sewer - Capex Input'!F133</f>
        <v>0</v>
      </c>
      <c r="D152" s="30">
        <f>IF('19. Sewer - Capex Input'!$I133=D$3,'19. Sewer - Capex Input'!$G133,IF(C152&gt;1,C152-1,0))</f>
        <v>0</v>
      </c>
      <c r="E152" s="30">
        <f>IF('19. Sewer - Capex Input'!$I133=E$3,'19. Sewer - Capex Input'!$G133,IF(D152&gt;1,D152-1,0))</f>
        <v>0</v>
      </c>
      <c r="F152" s="30">
        <f>IF('19. Sewer - Capex Input'!$I133=F$3,'19. Sewer - Capex Input'!$G133,IF(E152&gt;1,E152-1,0))</f>
        <v>0</v>
      </c>
      <c r="G152" s="30">
        <f>IF('19. Sewer - Capex Input'!$I133=G$3,'19. Sewer - Capex Input'!$G133,IF(F152&gt;1,F152-1,0))</f>
        <v>0</v>
      </c>
      <c r="H152" s="30">
        <f>IF('19. Sewer - Capex Input'!$I133=H$3,'19. Sewer - Capex Input'!$G133,IF(G152&gt;1,G152-1,0))</f>
        <v>0</v>
      </c>
    </row>
    <row r="153" spans="2:8">
      <c r="B153" s="152">
        <f>'19. Sewer - Capex Input'!F134</f>
        <v>0</v>
      </c>
      <c r="D153" s="30">
        <f>IF('19. Sewer - Capex Input'!$I134=D$3,'19. Sewer - Capex Input'!$G134,IF(C153&gt;1,C153-1,0))</f>
        <v>20</v>
      </c>
      <c r="E153" s="30">
        <f>IF('19. Sewer - Capex Input'!$I134=E$3,'19. Sewer - Capex Input'!$G134,IF(D153&gt;1,D153-1,0))</f>
        <v>19</v>
      </c>
      <c r="F153" s="30">
        <f>IF('19. Sewer - Capex Input'!$I134=F$3,'19. Sewer - Capex Input'!$G134,IF(E153&gt;1,E153-1,0))</f>
        <v>18</v>
      </c>
      <c r="G153" s="30">
        <f>IF('19. Sewer - Capex Input'!$I134=G$3,'19. Sewer - Capex Input'!$G134,IF(F153&gt;1,F153-1,0))</f>
        <v>17</v>
      </c>
      <c r="H153" s="30">
        <f>IF('19. Sewer - Capex Input'!$I134=H$3,'19. Sewer - Capex Input'!$G134,IF(G153&gt;1,G153-1,0))</f>
        <v>16</v>
      </c>
    </row>
    <row r="154" spans="2:8">
      <c r="B154" s="152">
        <f>'19. Sewer - Capex Input'!F135</f>
        <v>0</v>
      </c>
      <c r="D154" s="30">
        <f>IF('19. Sewer - Capex Input'!$I135=D$3,'19. Sewer - Capex Input'!$G135,IF(C154&gt;1,C154-1,0))</f>
        <v>0</v>
      </c>
      <c r="E154" s="30">
        <f>IF('19. Sewer - Capex Input'!$I135=E$3,'19. Sewer - Capex Input'!$G135,IF(D154&gt;1,D154-1,0))</f>
        <v>20</v>
      </c>
      <c r="F154" s="30">
        <f>IF('19. Sewer - Capex Input'!$I135=F$3,'19. Sewer - Capex Input'!$G135,IF(E154&gt;1,E154-1,0))</f>
        <v>19</v>
      </c>
      <c r="G154" s="30">
        <f>IF('19. Sewer - Capex Input'!$I135=G$3,'19. Sewer - Capex Input'!$G135,IF(F154&gt;1,F154-1,0))</f>
        <v>18</v>
      </c>
      <c r="H154" s="30">
        <f>IF('19. Sewer - Capex Input'!$I135=H$3,'19. Sewer - Capex Input'!$G135,IF(G154&gt;1,G154-1,0))</f>
        <v>17</v>
      </c>
    </row>
    <row r="155" spans="2:8">
      <c r="B155" s="152">
        <f>'19. Sewer - Capex Input'!F136</f>
        <v>0</v>
      </c>
      <c r="D155" s="30">
        <f>IF('19. Sewer - Capex Input'!$I136=D$3,'19. Sewer - Capex Input'!$G136,IF(C155&gt;1,C155-1,0))</f>
        <v>0</v>
      </c>
      <c r="E155" s="30">
        <f>IF('19. Sewer - Capex Input'!$I136=E$3,'19. Sewer - Capex Input'!$G136,IF(D155&gt;1,D155-1,0))</f>
        <v>0</v>
      </c>
      <c r="F155" s="30">
        <f>IF('19. Sewer - Capex Input'!$I136=F$3,'19. Sewer - Capex Input'!$G136,IF(E155&gt;1,E155-1,0))</f>
        <v>20</v>
      </c>
      <c r="G155" s="30">
        <f>IF('19. Sewer - Capex Input'!$I136=G$3,'19. Sewer - Capex Input'!$G136,IF(F155&gt;1,F155-1,0))</f>
        <v>19</v>
      </c>
      <c r="H155" s="30">
        <f>IF('19. Sewer - Capex Input'!$I136=H$3,'19. Sewer - Capex Input'!$G136,IF(G155&gt;1,G155-1,0))</f>
        <v>18</v>
      </c>
    </row>
    <row r="156" spans="2:8">
      <c r="B156" s="152">
        <f>'19. Sewer - Capex Input'!F137</f>
        <v>0</v>
      </c>
      <c r="D156" s="30">
        <f>IF('19. Sewer - Capex Input'!$I137=D$3,'19. Sewer - Capex Input'!$G137,IF(C156&gt;1,C156-1,0))</f>
        <v>80</v>
      </c>
      <c r="E156" s="30">
        <f>IF('19. Sewer - Capex Input'!$I137=E$3,'19. Sewer - Capex Input'!$G137,IF(D156&gt;1,D156-1,0))</f>
        <v>79</v>
      </c>
      <c r="F156" s="30">
        <f>IF('19. Sewer - Capex Input'!$I137=F$3,'19. Sewer - Capex Input'!$G137,IF(E156&gt;1,E156-1,0))</f>
        <v>78</v>
      </c>
      <c r="G156" s="30">
        <f>IF('19. Sewer - Capex Input'!$I137=G$3,'19. Sewer - Capex Input'!$G137,IF(F156&gt;1,F156-1,0))</f>
        <v>77</v>
      </c>
      <c r="H156" s="30">
        <f>IF('19. Sewer - Capex Input'!$I137=H$3,'19. Sewer - Capex Input'!$G137,IF(G156&gt;1,G156-1,0))</f>
        <v>76</v>
      </c>
    </row>
    <row r="157" spans="2:8">
      <c r="B157" s="152">
        <f>'19. Sewer - Capex Input'!F138</f>
        <v>0</v>
      </c>
      <c r="D157" s="30">
        <f>IF('19. Sewer - Capex Input'!$I138=D$3,'19. Sewer - Capex Input'!$G138,IF(C157&gt;1,C157-1,0))</f>
        <v>20</v>
      </c>
      <c r="E157" s="30">
        <f>IF('19. Sewer - Capex Input'!$I138=E$3,'19. Sewer - Capex Input'!$G138,IF(D157&gt;1,D157-1,0))</f>
        <v>19</v>
      </c>
      <c r="F157" s="30">
        <f>IF('19. Sewer - Capex Input'!$I138=F$3,'19. Sewer - Capex Input'!$G138,IF(E157&gt;1,E157-1,0))</f>
        <v>18</v>
      </c>
      <c r="G157" s="30">
        <f>IF('19. Sewer - Capex Input'!$I138=G$3,'19. Sewer - Capex Input'!$G138,IF(F157&gt;1,F157-1,0))</f>
        <v>17</v>
      </c>
      <c r="H157" s="30">
        <f>IF('19. Sewer - Capex Input'!$I138=H$3,'19. Sewer - Capex Input'!$G138,IF(G157&gt;1,G157-1,0))</f>
        <v>16</v>
      </c>
    </row>
    <row r="158" spans="2:8">
      <c r="B158" s="152">
        <f>'19. Sewer - Capex Input'!F139</f>
        <v>0</v>
      </c>
      <c r="D158" s="30">
        <f>IF('19. Sewer - Capex Input'!$I139=D$3,'19. Sewer - Capex Input'!$G139,IF(C158&gt;1,C158-1,0))</f>
        <v>60</v>
      </c>
      <c r="E158" s="30">
        <f>IF('19. Sewer - Capex Input'!$I139=E$3,'19. Sewer - Capex Input'!$G139,IF(D158&gt;1,D158-1,0))</f>
        <v>59</v>
      </c>
      <c r="F158" s="30">
        <f>IF('19. Sewer - Capex Input'!$I139=F$3,'19. Sewer - Capex Input'!$G139,IF(E158&gt;1,E158-1,0))</f>
        <v>58</v>
      </c>
      <c r="G158" s="30">
        <f>IF('19. Sewer - Capex Input'!$I139=G$3,'19. Sewer - Capex Input'!$G139,IF(F158&gt;1,F158-1,0))</f>
        <v>57</v>
      </c>
      <c r="H158" s="30">
        <f>IF('19. Sewer - Capex Input'!$I139=H$3,'19. Sewer - Capex Input'!$G139,IF(G158&gt;1,G158-1,0))</f>
        <v>56</v>
      </c>
    </row>
    <row r="159" spans="2:8">
      <c r="B159" s="152">
        <f>'19. Sewer - Capex Input'!F140</f>
        <v>0</v>
      </c>
      <c r="D159" s="30">
        <f>IF('19. Sewer - Capex Input'!$I140=D$3,'19. Sewer - Capex Input'!$G140,IF(C159&gt;1,C159-1,0))</f>
        <v>0</v>
      </c>
      <c r="E159" s="30">
        <f>IF('19. Sewer - Capex Input'!$I140=E$3,'19. Sewer - Capex Input'!$G140,IF(D159&gt;1,D159-1,0))</f>
        <v>60</v>
      </c>
      <c r="F159" s="30">
        <f>IF('19. Sewer - Capex Input'!$I140=F$3,'19. Sewer - Capex Input'!$G140,IF(E159&gt;1,E159-1,0))</f>
        <v>59</v>
      </c>
      <c r="G159" s="30">
        <f>IF('19. Sewer - Capex Input'!$I140=G$3,'19. Sewer - Capex Input'!$G140,IF(F159&gt;1,F159-1,0))</f>
        <v>58</v>
      </c>
      <c r="H159" s="30">
        <f>IF('19. Sewer - Capex Input'!$I140=H$3,'19. Sewer - Capex Input'!$G140,IF(G159&gt;1,G159-1,0))</f>
        <v>57</v>
      </c>
    </row>
    <row r="160" spans="2:8">
      <c r="B160" s="152">
        <f>'19. Sewer - Capex Input'!F141</f>
        <v>0</v>
      </c>
      <c r="D160" s="30">
        <f>IF('19. Sewer - Capex Input'!$I141=D$3,'19. Sewer - Capex Input'!$G141,IF(C160&gt;1,C160-1,0))</f>
        <v>0</v>
      </c>
      <c r="E160" s="30">
        <f>IF('19. Sewer - Capex Input'!$I141=E$3,'19. Sewer - Capex Input'!$G141,IF(D160&gt;1,D160-1,0))</f>
        <v>0</v>
      </c>
      <c r="F160" s="30">
        <f>IF('19. Sewer - Capex Input'!$I141=F$3,'19. Sewer - Capex Input'!$G141,IF(E160&gt;1,E160-1,0))</f>
        <v>60</v>
      </c>
      <c r="G160" s="30">
        <f>IF('19. Sewer - Capex Input'!$I141=G$3,'19. Sewer - Capex Input'!$G141,IF(F160&gt;1,F160-1,0))</f>
        <v>59</v>
      </c>
      <c r="H160" s="30">
        <f>IF('19. Sewer - Capex Input'!$I141=H$3,'19. Sewer - Capex Input'!$G141,IF(G160&gt;1,G160-1,0))</f>
        <v>58</v>
      </c>
    </row>
    <row r="161" spans="2:8">
      <c r="B161" s="152">
        <f>'19. Sewer - Capex Input'!F142</f>
        <v>0</v>
      </c>
      <c r="D161" s="30">
        <f>IF('19. Sewer - Capex Input'!$I142=D$3,'19. Sewer - Capex Input'!$G142,IF(C161&gt;1,C161-1,0))</f>
        <v>60</v>
      </c>
      <c r="E161" s="30">
        <f>IF('19. Sewer - Capex Input'!$I142=E$3,'19. Sewer - Capex Input'!$G142,IF(D161&gt;1,D161-1,0))</f>
        <v>59</v>
      </c>
      <c r="F161" s="30">
        <f>IF('19. Sewer - Capex Input'!$I142=F$3,'19. Sewer - Capex Input'!$G142,IF(E161&gt;1,E161-1,0))</f>
        <v>58</v>
      </c>
      <c r="G161" s="30">
        <f>IF('19. Sewer - Capex Input'!$I142=G$3,'19. Sewer - Capex Input'!$G142,IF(F161&gt;1,F161-1,0))</f>
        <v>57</v>
      </c>
      <c r="H161" s="30">
        <f>IF('19. Sewer - Capex Input'!$I142=H$3,'19. Sewer - Capex Input'!$G142,IF(G161&gt;1,G161-1,0))</f>
        <v>56</v>
      </c>
    </row>
    <row r="162" spans="2:8">
      <c r="B162" s="152">
        <f>'19. Sewer - Capex Input'!F143</f>
        <v>0</v>
      </c>
      <c r="D162" s="30">
        <f>IF('19. Sewer - Capex Input'!$I143=D$3,'19. Sewer - Capex Input'!$G143,IF(C162&gt;1,C162-1,0))</f>
        <v>0</v>
      </c>
      <c r="E162" s="30">
        <f>IF('19. Sewer - Capex Input'!$I143=E$3,'19. Sewer - Capex Input'!$G143,IF(D162&gt;1,D162-1,0))</f>
        <v>60</v>
      </c>
      <c r="F162" s="30">
        <f>IF('19. Sewer - Capex Input'!$I143=F$3,'19. Sewer - Capex Input'!$G143,IF(E162&gt;1,E162-1,0))</f>
        <v>59</v>
      </c>
      <c r="G162" s="30">
        <f>IF('19. Sewer - Capex Input'!$I143=G$3,'19. Sewer - Capex Input'!$G143,IF(F162&gt;1,F162-1,0))</f>
        <v>58</v>
      </c>
      <c r="H162" s="30">
        <f>IF('19. Sewer - Capex Input'!$I143=H$3,'19. Sewer - Capex Input'!$G143,IF(G162&gt;1,G162-1,0))</f>
        <v>57</v>
      </c>
    </row>
    <row r="163" spans="2:8">
      <c r="B163" s="152">
        <f>'19. Sewer - Capex Input'!F144</f>
        <v>0</v>
      </c>
      <c r="D163" s="30">
        <f>IF('19. Sewer - Capex Input'!$I144=D$3,'19. Sewer - Capex Input'!$G144,IF(C163&gt;1,C163-1,0))</f>
        <v>0</v>
      </c>
      <c r="E163" s="30">
        <f>IF('19. Sewer - Capex Input'!$I144=E$3,'19. Sewer - Capex Input'!$G144,IF(D163&gt;1,D163-1,0))</f>
        <v>80</v>
      </c>
      <c r="F163" s="30">
        <f>IF('19. Sewer - Capex Input'!$I144=F$3,'19. Sewer - Capex Input'!$G144,IF(E163&gt;1,E163-1,0))</f>
        <v>79</v>
      </c>
      <c r="G163" s="30">
        <f>IF('19. Sewer - Capex Input'!$I144=G$3,'19. Sewer - Capex Input'!$G144,IF(F163&gt;1,F163-1,0))</f>
        <v>78</v>
      </c>
      <c r="H163" s="30">
        <f>IF('19. Sewer - Capex Input'!$I144=H$3,'19. Sewer - Capex Input'!$G144,IF(G163&gt;1,G163-1,0))</f>
        <v>77</v>
      </c>
    </row>
    <row r="164" spans="2:8">
      <c r="B164" s="152">
        <f>'19. Sewer - Capex Input'!F145</f>
        <v>0</v>
      </c>
      <c r="D164" s="30">
        <f>IF('19. Sewer - Capex Input'!$I145=D$3,'19. Sewer - Capex Input'!$G145,IF(C164&gt;1,C164-1,0))</f>
        <v>0</v>
      </c>
      <c r="E164" s="30">
        <f>IF('19. Sewer - Capex Input'!$I145=E$3,'19. Sewer - Capex Input'!$G145,IF(D164&gt;1,D164-1,0))</f>
        <v>0</v>
      </c>
      <c r="F164" s="30">
        <f>IF('19. Sewer - Capex Input'!$I145=F$3,'19. Sewer - Capex Input'!$G145,IF(E164&gt;1,E164-1,0))</f>
        <v>80</v>
      </c>
      <c r="G164" s="30">
        <f>IF('19. Sewer - Capex Input'!$I145=G$3,'19. Sewer - Capex Input'!$G145,IF(F164&gt;1,F164-1,0))</f>
        <v>79</v>
      </c>
      <c r="H164" s="30">
        <f>IF('19. Sewer - Capex Input'!$I145=H$3,'19. Sewer - Capex Input'!$G145,IF(G164&gt;1,G164-1,0))</f>
        <v>78</v>
      </c>
    </row>
    <row r="165" spans="2:8">
      <c r="B165" s="152">
        <f>'19. Sewer - Capex Input'!F146</f>
        <v>0</v>
      </c>
      <c r="D165" s="30">
        <f>IF('19. Sewer - Capex Input'!$I146=D$3,'19. Sewer - Capex Input'!$G146,IF(C165&gt;1,C165-1,0))</f>
        <v>0</v>
      </c>
      <c r="E165" s="30">
        <f>IF('19. Sewer - Capex Input'!$I146=E$3,'19. Sewer - Capex Input'!$G146,IF(D165&gt;1,D165-1,0))</f>
        <v>0</v>
      </c>
      <c r="F165" s="30">
        <f>IF('19. Sewer - Capex Input'!$I146=F$3,'19. Sewer - Capex Input'!$G146,IF(E165&gt;1,E165-1,0))</f>
        <v>0</v>
      </c>
      <c r="G165" s="30">
        <f>IF('19. Sewer - Capex Input'!$I146=G$3,'19. Sewer - Capex Input'!$G146,IF(F165&gt;1,F165-1,0))</f>
        <v>80</v>
      </c>
      <c r="H165" s="30">
        <f>IF('19. Sewer - Capex Input'!$I146=H$3,'19. Sewer - Capex Input'!$G146,IF(G165&gt;1,G165-1,0))</f>
        <v>79</v>
      </c>
    </row>
    <row r="166" spans="2:8">
      <c r="B166" s="152">
        <f>'19. Sewer - Capex Input'!F147</f>
        <v>0</v>
      </c>
      <c r="D166" s="30">
        <f>IF('19. Sewer - Capex Input'!$I147=D$3,'19. Sewer - Capex Input'!$G147,IF(C166&gt;1,C166-1,0))</f>
        <v>0</v>
      </c>
      <c r="E166" s="30">
        <f>IF('19. Sewer - Capex Input'!$I147=E$3,'19. Sewer - Capex Input'!$G147,IF(D166&gt;1,D166-1,0))</f>
        <v>10</v>
      </c>
      <c r="F166" s="30">
        <f>IF('19. Sewer - Capex Input'!$I147=F$3,'19. Sewer - Capex Input'!$G147,IF(E166&gt;1,E166-1,0))</f>
        <v>9</v>
      </c>
      <c r="G166" s="30">
        <f>IF('19. Sewer - Capex Input'!$I147=G$3,'19. Sewer - Capex Input'!$G147,IF(F166&gt;1,F166-1,0))</f>
        <v>8</v>
      </c>
      <c r="H166" s="30">
        <f>IF('19. Sewer - Capex Input'!$I147=H$3,'19. Sewer - Capex Input'!$G147,IF(G166&gt;1,G166-1,0))</f>
        <v>7</v>
      </c>
    </row>
    <row r="167" spans="2:8">
      <c r="B167" s="152">
        <f>'19. Sewer - Capex Input'!F148</f>
        <v>0</v>
      </c>
      <c r="D167" s="30">
        <f>IF('19. Sewer - Capex Input'!$I148=D$3,'19. Sewer - Capex Input'!$G148,IF(C167&gt;1,C167-1,0))</f>
        <v>0</v>
      </c>
      <c r="E167" s="30">
        <f>IF('19. Sewer - Capex Input'!$I148=E$3,'19. Sewer - Capex Input'!$G148,IF(D167&gt;1,D167-1,0))</f>
        <v>40</v>
      </c>
      <c r="F167" s="30">
        <f>IF('19. Sewer - Capex Input'!$I148=F$3,'19. Sewer - Capex Input'!$G148,IF(E167&gt;1,E167-1,0))</f>
        <v>39</v>
      </c>
      <c r="G167" s="30">
        <f>IF('19. Sewer - Capex Input'!$I148=G$3,'19. Sewer - Capex Input'!$G148,IF(F167&gt;1,F167-1,0))</f>
        <v>38</v>
      </c>
      <c r="H167" s="30">
        <f>IF('19. Sewer - Capex Input'!$I148=H$3,'19. Sewer - Capex Input'!$G148,IF(G167&gt;1,G167-1,0))</f>
        <v>37</v>
      </c>
    </row>
    <row r="168" spans="2:8">
      <c r="B168" s="152" t="str">
        <f>'19. Sewer - Capex Input'!F149</f>
        <v>Carndo Year 4 Reduction</v>
      </c>
      <c r="D168" s="30">
        <f>IF('19. Sewer - Capex Input'!$I149=D$3,'19. Sewer - Capex Input'!$G149,IF(C168&gt;1,C168-1,0))</f>
        <v>0</v>
      </c>
      <c r="E168" s="30">
        <f>IF('19. Sewer - Capex Input'!$I149=E$3,'19. Sewer - Capex Input'!$G149,IF(D168&gt;1,D168-1,0))</f>
        <v>0</v>
      </c>
      <c r="F168" s="30">
        <f>IF('19. Sewer - Capex Input'!$I149=F$3,'19. Sewer - Capex Input'!$G149,IF(E168&gt;1,E168-1,0))</f>
        <v>0</v>
      </c>
      <c r="G168" s="30">
        <f>IF('19. Sewer - Capex Input'!$I149=G$3,'19. Sewer - Capex Input'!$G149,IF(F168&gt;1,F168-1,0))</f>
        <v>32.16934224040952</v>
      </c>
      <c r="H168" s="30">
        <f>IF('19. Sewer - Capex Input'!$I149=H$3,'19. Sewer - Capex Input'!$G149,IF(G168&gt;1,G168-1,0))</f>
        <v>31.16934224040952</v>
      </c>
    </row>
    <row r="169" spans="2:8">
      <c r="B169" s="152" t="str">
        <f>'19. Sewer - Capex Input'!F150</f>
        <v>Carndo Year 5 Reduction</v>
      </c>
      <c r="D169" s="30">
        <f>IF('19. Sewer - Capex Input'!$I150=D$3,'19. Sewer - Capex Input'!$G150,IF(C169&gt;1,C169-1,0))</f>
        <v>0</v>
      </c>
      <c r="E169" s="30">
        <f>IF('19. Sewer - Capex Input'!$I150=E$3,'19. Sewer - Capex Input'!$G150,IF(D169&gt;1,D169-1,0))</f>
        <v>0</v>
      </c>
      <c r="F169" s="30">
        <f>IF('19. Sewer - Capex Input'!$I150=F$3,'19. Sewer - Capex Input'!$G150,IF(E169&gt;1,E169-1,0))</f>
        <v>0</v>
      </c>
      <c r="G169" s="30">
        <f>IF('19. Sewer - Capex Input'!$I150=G$3,'19. Sewer - Capex Input'!$G150,IF(F169&gt;1,F169-1,0))</f>
        <v>0</v>
      </c>
      <c r="H169" s="30">
        <f>IF('19. Sewer - Capex Input'!$I150=H$3,'19. Sewer - Capex Input'!$G150,IF(G169&gt;1,G169-1,0))</f>
        <v>32.169342240409513</v>
      </c>
    </row>
    <row r="170" spans="2:8">
      <c r="B170" s="152">
        <f>'19. Sewer - Capex Input'!F151</f>
        <v>0</v>
      </c>
      <c r="D170" s="30">
        <f>IF('19. Sewer - Capex Input'!$I151=D$3,'19. Sewer - Capex Input'!$G151,IF(C170&gt;1,C170-1,0))</f>
        <v>0</v>
      </c>
      <c r="E170" s="30">
        <f>IF('19. Sewer - Capex Input'!$I151=E$3,'19. Sewer - Capex Input'!$G151,IF(D170&gt;1,D170-1,0))</f>
        <v>0</v>
      </c>
      <c r="F170" s="30">
        <f>IF('19. Sewer - Capex Input'!$I151=F$3,'19. Sewer - Capex Input'!$G151,IF(E170&gt;1,E170-1,0))</f>
        <v>0</v>
      </c>
      <c r="G170" s="30">
        <f>IF('19. Sewer - Capex Input'!$I151=G$3,'19. Sewer - Capex Input'!$G151,IF(F170&gt;1,F170-1,0))</f>
        <v>0</v>
      </c>
      <c r="H170" s="30">
        <f>IF('19. Sewer - Capex Input'!$I151=H$3,'19. Sewer - Capex Input'!$G151,IF(G170&gt;1,G170-1,0))</f>
        <v>0</v>
      </c>
    </row>
    <row r="171" spans="2:8">
      <c r="B171" s="152">
        <f>'19. Sewer - Capex Input'!F152</f>
        <v>0</v>
      </c>
      <c r="D171" s="30">
        <f>IF('19. Sewer - Capex Input'!$I152=D$3,'19. Sewer - Capex Input'!$G152,IF(C171&gt;1,C171-1,0))</f>
        <v>0</v>
      </c>
      <c r="E171" s="30">
        <f>IF('19. Sewer - Capex Input'!$I152=E$3,'19. Sewer - Capex Input'!$G152,IF(D171&gt;1,D171-1,0))</f>
        <v>0</v>
      </c>
      <c r="F171" s="30">
        <f>IF('19. Sewer - Capex Input'!$I152=F$3,'19. Sewer - Capex Input'!$G152,IF(E171&gt;1,E171-1,0))</f>
        <v>0</v>
      </c>
      <c r="G171" s="30">
        <f>IF('19. Sewer - Capex Input'!$I152=G$3,'19. Sewer - Capex Input'!$G152,IF(F171&gt;1,F171-1,0))</f>
        <v>0</v>
      </c>
      <c r="H171" s="30">
        <f>IF('19. Sewer - Capex Input'!$I152=H$3,'19. Sewer - Capex Input'!$G152,IF(G171&gt;1,G171-1,0))</f>
        <v>0</v>
      </c>
    </row>
    <row r="172" spans="2:8">
      <c r="B172" s="152">
        <f>'19. Sewer - Capex Input'!F153</f>
        <v>0</v>
      </c>
      <c r="D172" s="30">
        <f>IF('19. Sewer - Capex Input'!$I153=D$3,'19. Sewer - Capex Input'!$G153,IF(C172&gt;1,C172-1,0))</f>
        <v>0</v>
      </c>
      <c r="E172" s="30">
        <f>IF('19. Sewer - Capex Input'!$I153=E$3,'19. Sewer - Capex Input'!$G153,IF(D172&gt;1,D172-1,0))</f>
        <v>0</v>
      </c>
      <c r="F172" s="30">
        <f>IF('19. Sewer - Capex Input'!$I153=F$3,'19. Sewer - Capex Input'!$G153,IF(E172&gt;1,E172-1,0))</f>
        <v>0</v>
      </c>
      <c r="G172" s="30">
        <f>IF('19. Sewer - Capex Input'!$I153=G$3,'19. Sewer - Capex Input'!$G153,IF(F172&gt;1,F172-1,0))</f>
        <v>0</v>
      </c>
      <c r="H172" s="30">
        <f>IF('19. Sewer - Capex Input'!$I153=H$3,'19. Sewer - Capex Input'!$G153,IF(G172&gt;1,G172-1,0))</f>
        <v>0</v>
      </c>
    </row>
    <row r="173" spans="2:8">
      <c r="B173" s="152">
        <f>'19. Sewer - Capex Input'!F154</f>
        <v>0</v>
      </c>
      <c r="D173" s="30">
        <f>IF('19. Sewer - Capex Input'!$I154=D$3,'19. Sewer - Capex Input'!$G154,IF(C173&gt;1,C173-1,0))</f>
        <v>0</v>
      </c>
      <c r="E173" s="30">
        <f>IF('19. Sewer - Capex Input'!$I154=E$3,'19. Sewer - Capex Input'!$G154,IF(D173&gt;1,D173-1,0))</f>
        <v>0</v>
      </c>
      <c r="F173" s="30">
        <f>IF('19. Sewer - Capex Input'!$I154=F$3,'19. Sewer - Capex Input'!$G154,IF(E173&gt;1,E173-1,0))</f>
        <v>0</v>
      </c>
      <c r="G173" s="30">
        <f>IF('19. Sewer - Capex Input'!$I154=G$3,'19. Sewer - Capex Input'!$G154,IF(F173&gt;1,F173-1,0))</f>
        <v>0</v>
      </c>
      <c r="H173" s="30">
        <f>IF('19. Sewer - Capex Input'!$I154=H$3,'19. Sewer - Capex Input'!$G154,IF(G173&gt;1,G173-1,0))</f>
        <v>0</v>
      </c>
    </row>
    <row r="174" spans="2:8">
      <c r="B174" s="152">
        <f>'19. Sewer - Capex Input'!F155</f>
        <v>0</v>
      </c>
      <c r="D174" s="30">
        <f>IF('19. Sewer - Capex Input'!$I155=D$3,'19. Sewer - Capex Input'!$G155,IF(C174&gt;1,C174-1,0))</f>
        <v>0</v>
      </c>
      <c r="E174" s="30">
        <f>IF('19. Sewer - Capex Input'!$I155=E$3,'19. Sewer - Capex Input'!$G155,IF(D174&gt;1,D174-1,0))</f>
        <v>0</v>
      </c>
      <c r="F174" s="30">
        <f>IF('19. Sewer - Capex Input'!$I155=F$3,'19. Sewer - Capex Input'!$G155,IF(E174&gt;1,E174-1,0))</f>
        <v>0</v>
      </c>
      <c r="G174" s="30">
        <f>IF('19. Sewer - Capex Input'!$I155=G$3,'19. Sewer - Capex Input'!$G155,IF(F174&gt;1,F174-1,0))</f>
        <v>0</v>
      </c>
      <c r="H174" s="30">
        <f>IF('19. Sewer - Capex Input'!$I155=H$3,'19. Sewer - Capex Input'!$G155,IF(G174&gt;1,G174-1,0))</f>
        <v>0</v>
      </c>
    </row>
    <row r="175" spans="2:8">
      <c r="B175" s="152">
        <f>'19. Sewer - Capex Input'!F156</f>
        <v>0</v>
      </c>
      <c r="D175" s="30">
        <f>IF('19. Sewer - Capex Input'!$I156=D$3,'19. Sewer - Capex Input'!$G156,IF(C175&gt;1,C175-1,0))</f>
        <v>0</v>
      </c>
      <c r="E175" s="30">
        <f>IF('19. Sewer - Capex Input'!$I156=E$3,'19. Sewer - Capex Input'!$G156,IF(D175&gt;1,D175-1,0))</f>
        <v>0</v>
      </c>
      <c r="F175" s="30">
        <f>IF('19. Sewer - Capex Input'!$I156=F$3,'19. Sewer - Capex Input'!$G156,IF(E175&gt;1,E175-1,0))</f>
        <v>0</v>
      </c>
      <c r="G175" s="30">
        <f>IF('19. Sewer - Capex Input'!$I156=G$3,'19. Sewer - Capex Input'!$G156,IF(F175&gt;1,F175-1,0))</f>
        <v>0</v>
      </c>
      <c r="H175" s="30">
        <f>IF('19. Sewer - Capex Input'!$I156=H$3,'19. Sewer - Capex Input'!$G156,IF(G175&gt;1,G175-1,0))</f>
        <v>0</v>
      </c>
    </row>
    <row r="176" spans="2:8">
      <c r="B176" s="152">
        <f>'19. Sewer - Capex Input'!F157</f>
        <v>0</v>
      </c>
      <c r="D176" s="30">
        <f>IF('19. Sewer - Capex Input'!$I157=D$3,'19. Sewer - Capex Input'!$G157,IF(C176&gt;1,C176-1,0))</f>
        <v>0</v>
      </c>
      <c r="E176" s="30">
        <f>IF('19. Sewer - Capex Input'!$I157=E$3,'19. Sewer - Capex Input'!$G157,IF(D176&gt;1,D176-1,0))</f>
        <v>0</v>
      </c>
      <c r="F176" s="30">
        <f>IF('19. Sewer - Capex Input'!$I157=F$3,'19. Sewer - Capex Input'!$G157,IF(E176&gt;1,E176-1,0))</f>
        <v>0</v>
      </c>
      <c r="G176" s="30">
        <f>IF('19. Sewer - Capex Input'!$I157=G$3,'19. Sewer - Capex Input'!$G157,IF(F176&gt;1,F176-1,0))</f>
        <v>0</v>
      </c>
      <c r="H176" s="30">
        <f>IF('19. Sewer - Capex Input'!$I157=H$3,'19. Sewer - Capex Input'!$G157,IF(G176&gt;1,G176-1,0))</f>
        <v>0</v>
      </c>
    </row>
    <row r="177" spans="2:8">
      <c r="B177" s="152">
        <f>'19. Sewer - Capex Input'!F158</f>
        <v>0</v>
      </c>
      <c r="D177" s="30">
        <f>IF('19. Sewer - Capex Input'!$I158=D$3,'19. Sewer - Capex Input'!$G158,IF(C177&gt;1,C177-1,0))</f>
        <v>0</v>
      </c>
      <c r="E177" s="30">
        <f>IF('19. Sewer - Capex Input'!$I158=E$3,'19. Sewer - Capex Input'!$G158,IF(D177&gt;1,D177-1,0))</f>
        <v>0</v>
      </c>
      <c r="F177" s="30">
        <f>IF('19. Sewer - Capex Input'!$I158=F$3,'19. Sewer - Capex Input'!$G158,IF(E177&gt;1,E177-1,0))</f>
        <v>0</v>
      </c>
      <c r="G177" s="30">
        <f>IF('19. Sewer - Capex Input'!$I158=G$3,'19. Sewer - Capex Input'!$G158,IF(F177&gt;1,F177-1,0))</f>
        <v>0</v>
      </c>
      <c r="H177" s="30">
        <f>IF('19. Sewer - Capex Input'!$I158=H$3,'19. Sewer - Capex Input'!$G158,IF(G177&gt;1,G177-1,0))</f>
        <v>0</v>
      </c>
    </row>
    <row r="178" spans="2:8">
      <c r="B178" s="152">
        <f>'19. Sewer - Capex Input'!F159</f>
        <v>0</v>
      </c>
      <c r="D178" s="30">
        <f>IF('19. Sewer - Capex Input'!$I159=D$3,'19. Sewer - Capex Input'!$G159,IF(C178&gt;1,C178-1,0))</f>
        <v>0</v>
      </c>
      <c r="E178" s="30">
        <f>IF('19. Sewer - Capex Input'!$I159=E$3,'19. Sewer - Capex Input'!$G159,IF(D178&gt;1,D178-1,0))</f>
        <v>0</v>
      </c>
      <c r="F178" s="30">
        <f>IF('19. Sewer - Capex Input'!$I159=F$3,'19. Sewer - Capex Input'!$G159,IF(E178&gt;1,E178-1,0))</f>
        <v>0</v>
      </c>
      <c r="G178" s="30">
        <f>IF('19. Sewer - Capex Input'!$I159=G$3,'19. Sewer - Capex Input'!$G159,IF(F178&gt;1,F178-1,0))</f>
        <v>0</v>
      </c>
      <c r="H178" s="30">
        <f>IF('19. Sewer - Capex Input'!$I159=H$3,'19. Sewer - Capex Input'!$G159,IF(G178&gt;1,G178-1,0))</f>
        <v>0</v>
      </c>
    </row>
    <row r="179" spans="2:8">
      <c r="B179" s="152">
        <f>'19. Sewer - Capex Input'!F160</f>
        <v>0</v>
      </c>
      <c r="D179" s="30">
        <f>IF('19. Sewer - Capex Input'!$I160=D$3,'19. Sewer - Capex Input'!$G160,IF(C179&gt;1,C179-1,0))</f>
        <v>0</v>
      </c>
      <c r="E179" s="30">
        <f>IF('19. Sewer - Capex Input'!$I160=E$3,'19. Sewer - Capex Input'!$G160,IF(D179&gt;1,D179-1,0))</f>
        <v>0</v>
      </c>
      <c r="F179" s="30">
        <f>IF('19. Sewer - Capex Input'!$I160=F$3,'19. Sewer - Capex Input'!$G160,IF(E179&gt;1,E179-1,0))</f>
        <v>0</v>
      </c>
      <c r="G179" s="30">
        <f>IF('19. Sewer - Capex Input'!$I160=G$3,'19. Sewer - Capex Input'!$G160,IF(F179&gt;1,F179-1,0))</f>
        <v>0</v>
      </c>
      <c r="H179" s="30">
        <f>IF('19. Sewer - Capex Input'!$I160=H$3,'19. Sewer - Capex Input'!$G160,IF(G179&gt;1,G179-1,0))</f>
        <v>0</v>
      </c>
    </row>
    <row r="180" spans="2:8">
      <c r="B180" s="152">
        <f>'19. Sewer - Capex Input'!F161</f>
        <v>0</v>
      </c>
      <c r="D180" s="30">
        <f>IF('19. Sewer - Capex Input'!$I161=D$3,'19. Sewer - Capex Input'!$G161,IF(C180&gt;1,C180-1,0))</f>
        <v>0</v>
      </c>
      <c r="E180" s="30">
        <f>IF('19. Sewer - Capex Input'!$I161=E$3,'19. Sewer - Capex Input'!$G161,IF(D180&gt;1,D180-1,0))</f>
        <v>0</v>
      </c>
      <c r="F180" s="30">
        <f>IF('19. Sewer - Capex Input'!$I161=F$3,'19. Sewer - Capex Input'!$G161,IF(E180&gt;1,E180-1,0))</f>
        <v>0</v>
      </c>
      <c r="G180" s="30">
        <f>IF('19. Sewer - Capex Input'!$I161=G$3,'19. Sewer - Capex Input'!$G161,IF(F180&gt;1,F180-1,0))</f>
        <v>0</v>
      </c>
      <c r="H180" s="30">
        <f>IF('19. Sewer - Capex Input'!$I161=H$3,'19. Sewer - Capex Input'!$G161,IF(G180&gt;1,G180-1,0))</f>
        <v>0</v>
      </c>
    </row>
    <row r="181" spans="2:8">
      <c r="B181" s="152">
        <f>'19. Sewer - Capex Input'!F162</f>
        <v>0</v>
      </c>
      <c r="D181" s="30">
        <f>IF('19. Sewer - Capex Input'!$I162=D$3,'19. Sewer - Capex Input'!$G162,IF(C181&gt;1,C181-1,0))</f>
        <v>0</v>
      </c>
      <c r="E181" s="30">
        <f>IF('19. Sewer - Capex Input'!$I162=E$3,'19. Sewer - Capex Input'!$G162,IF(D181&gt;1,D181-1,0))</f>
        <v>0</v>
      </c>
      <c r="F181" s="30">
        <f>IF('19. Sewer - Capex Input'!$I162=F$3,'19. Sewer - Capex Input'!$G162,IF(E181&gt;1,E181-1,0))</f>
        <v>0</v>
      </c>
      <c r="G181" s="30">
        <f>IF('19. Sewer - Capex Input'!$I162=G$3,'19. Sewer - Capex Input'!$G162,IF(F181&gt;1,F181-1,0))</f>
        <v>0</v>
      </c>
      <c r="H181" s="30">
        <f>IF('19. Sewer - Capex Input'!$I162=H$3,'19. Sewer - Capex Input'!$G162,IF(G181&gt;1,G181-1,0))</f>
        <v>0</v>
      </c>
    </row>
    <row r="182" spans="2:8">
      <c r="B182" s="152">
        <f>'19. Sewer - Capex Input'!F163</f>
        <v>0</v>
      </c>
      <c r="D182" s="30">
        <f>IF('19. Sewer - Capex Input'!$I163=D$3,'19. Sewer - Capex Input'!$G163,IF(C182&gt;1,C182-1,0))</f>
        <v>0</v>
      </c>
      <c r="E182" s="30">
        <f>IF('19. Sewer - Capex Input'!$I163=E$3,'19. Sewer - Capex Input'!$G163,IF(D182&gt;1,D182-1,0))</f>
        <v>0</v>
      </c>
      <c r="F182" s="30">
        <f>IF('19. Sewer - Capex Input'!$I163=F$3,'19. Sewer - Capex Input'!$G163,IF(E182&gt;1,E182-1,0))</f>
        <v>0</v>
      </c>
      <c r="G182" s="30">
        <f>IF('19. Sewer - Capex Input'!$I163=G$3,'19. Sewer - Capex Input'!$G163,IF(F182&gt;1,F182-1,0))</f>
        <v>0</v>
      </c>
      <c r="H182" s="30">
        <f>IF('19. Sewer - Capex Input'!$I163=H$3,'19. Sewer - Capex Input'!$G163,IF(G182&gt;1,G182-1,0))</f>
        <v>0</v>
      </c>
    </row>
    <row r="183" spans="2:8">
      <c r="B183" s="152">
        <f>'19. Sewer - Capex Input'!F164</f>
        <v>0</v>
      </c>
      <c r="D183" s="30">
        <f>IF('19. Sewer - Capex Input'!$I164=D$3,'19. Sewer - Capex Input'!$G164,IF(C183&gt;1,C183-1,0))</f>
        <v>0</v>
      </c>
      <c r="E183" s="30">
        <f>IF('19. Sewer - Capex Input'!$I164=E$3,'19. Sewer - Capex Input'!$G164,IF(D183&gt;1,D183-1,0))</f>
        <v>0</v>
      </c>
      <c r="F183" s="30">
        <f>IF('19. Sewer - Capex Input'!$I164=F$3,'19. Sewer - Capex Input'!$G164,IF(E183&gt;1,E183-1,0))</f>
        <v>0</v>
      </c>
      <c r="G183" s="30">
        <f>IF('19. Sewer - Capex Input'!$I164=G$3,'19. Sewer - Capex Input'!$G164,IF(F183&gt;1,F183-1,0))</f>
        <v>0</v>
      </c>
      <c r="H183" s="30">
        <f>IF('19. Sewer - Capex Input'!$I164=H$3,'19. Sewer - Capex Input'!$G164,IF(G183&gt;1,G183-1,0))</f>
        <v>0</v>
      </c>
    </row>
    <row r="184" spans="2:8">
      <c r="B184" s="152">
        <f>'19. Sewer - Capex Input'!F165</f>
        <v>0</v>
      </c>
      <c r="D184" s="30">
        <f>IF('19. Sewer - Capex Input'!$I165=D$3,'19. Sewer - Capex Input'!$G165,IF(C184&gt;1,C184-1,0))</f>
        <v>0</v>
      </c>
      <c r="E184" s="30">
        <f>IF('19. Sewer - Capex Input'!$I165=E$3,'19. Sewer - Capex Input'!$G165,IF(D184&gt;1,D184-1,0))</f>
        <v>0</v>
      </c>
      <c r="F184" s="30">
        <f>IF('19. Sewer - Capex Input'!$I165=F$3,'19. Sewer - Capex Input'!$G165,IF(E184&gt;1,E184-1,0))</f>
        <v>0</v>
      </c>
      <c r="G184" s="30">
        <f>IF('19. Sewer - Capex Input'!$I165=G$3,'19. Sewer - Capex Input'!$G165,IF(F184&gt;1,F184-1,0))</f>
        <v>0</v>
      </c>
      <c r="H184" s="30">
        <f>IF('19. Sewer - Capex Input'!$I165=H$3,'19. Sewer - Capex Input'!$G165,IF(G184&gt;1,G184-1,0))</f>
        <v>0</v>
      </c>
    </row>
    <row r="185" spans="2:8">
      <c r="B185" s="152">
        <f>'19. Sewer - Capex Input'!F166</f>
        <v>0</v>
      </c>
      <c r="D185" s="30">
        <f>IF('19. Sewer - Capex Input'!$I166=D$3,'19. Sewer - Capex Input'!$G166,IF(C185&gt;1,C185-1,0))</f>
        <v>0</v>
      </c>
      <c r="E185" s="30">
        <f>IF('19. Sewer - Capex Input'!$I166=E$3,'19. Sewer - Capex Input'!$G166,IF(D185&gt;1,D185-1,0))</f>
        <v>0</v>
      </c>
      <c r="F185" s="30">
        <f>IF('19. Sewer - Capex Input'!$I166=F$3,'19. Sewer - Capex Input'!$G166,IF(E185&gt;1,E185-1,0))</f>
        <v>0</v>
      </c>
      <c r="G185" s="30">
        <f>IF('19. Sewer - Capex Input'!$I166=G$3,'19. Sewer - Capex Input'!$G166,IF(F185&gt;1,F185-1,0))</f>
        <v>0</v>
      </c>
      <c r="H185" s="30">
        <f>IF('19. Sewer - Capex Input'!$I166=H$3,'19. Sewer - Capex Input'!$G166,IF(G185&gt;1,G185-1,0))</f>
        <v>0</v>
      </c>
    </row>
    <row r="186" spans="2:8">
      <c r="B186" s="152">
        <f>'19. Sewer - Capex Input'!F167</f>
        <v>0</v>
      </c>
      <c r="D186" s="30">
        <f>IF('19. Sewer - Capex Input'!$I167=D$3,'19. Sewer - Capex Input'!$G167,IF(C186&gt;1,C186-1,0))</f>
        <v>0</v>
      </c>
      <c r="E186" s="30">
        <f>IF('19. Sewer - Capex Input'!$I167=E$3,'19. Sewer - Capex Input'!$G167,IF(D186&gt;1,D186-1,0))</f>
        <v>0</v>
      </c>
      <c r="F186" s="30">
        <f>IF('19. Sewer - Capex Input'!$I167=F$3,'19. Sewer - Capex Input'!$G167,IF(E186&gt;1,E186-1,0))</f>
        <v>0</v>
      </c>
      <c r="G186" s="30">
        <f>IF('19. Sewer - Capex Input'!$I167=G$3,'19. Sewer - Capex Input'!$G167,IF(F186&gt;1,F186-1,0))</f>
        <v>0</v>
      </c>
      <c r="H186" s="30">
        <f>IF('19. Sewer - Capex Input'!$I167=H$3,'19. Sewer - Capex Input'!$G167,IF(G186&gt;1,G186-1,0))</f>
        <v>0</v>
      </c>
    </row>
    <row r="187" spans="2:8">
      <c r="B187" s="152"/>
      <c r="D187" s="30"/>
      <c r="E187" s="30"/>
      <c r="F187" s="30"/>
      <c r="G187" s="30"/>
      <c r="H187" s="30"/>
    </row>
    <row r="188" spans="2:8" ht="15.75">
      <c r="B188" s="151" t="s">
        <v>116</v>
      </c>
      <c r="D188" s="30"/>
      <c r="E188" s="30"/>
      <c r="F188" s="30"/>
      <c r="G188" s="30"/>
      <c r="H188" s="30"/>
    </row>
    <row r="189" spans="2:8">
      <c r="B189" s="152">
        <f t="shared" ref="B189:B252" si="7">B23</f>
        <v>0</v>
      </c>
      <c r="D189" s="30">
        <v>0</v>
      </c>
      <c r="E189" s="30">
        <f ca="1">D1024</f>
        <v>166196.53250729165</v>
      </c>
      <c r="F189" s="30">
        <f t="shared" ref="F189:H189" ca="1" si="8">E1024</f>
        <v>167464.13317895745</v>
      </c>
      <c r="G189" s="30">
        <f t="shared" ca="1" si="8"/>
        <v>168691.24105138946</v>
      </c>
      <c r="H189" s="30">
        <f t="shared" ca="1" si="8"/>
        <v>169875.03923420623</v>
      </c>
    </row>
    <row r="190" spans="2:8">
      <c r="B190" s="152">
        <f t="shared" si="7"/>
        <v>0</v>
      </c>
      <c r="D190" s="30">
        <v>0</v>
      </c>
      <c r="E190" s="30">
        <f t="shared" ref="E190:H205" ca="1" si="9">D1025</f>
        <v>0</v>
      </c>
      <c r="F190" s="30">
        <f t="shared" ca="1" si="9"/>
        <v>511000.40996354166</v>
      </c>
      <c r="G190" s="30">
        <f t="shared" ca="1" si="9"/>
        <v>514897.87071750086</v>
      </c>
      <c r="H190" s="30">
        <f t="shared" ca="1" si="9"/>
        <v>518670.82925293088</v>
      </c>
    </row>
    <row r="191" spans="2:8">
      <c r="B191" s="152">
        <f t="shared" si="7"/>
        <v>0</v>
      </c>
      <c r="D191" s="30">
        <v>0</v>
      </c>
      <c r="E191" s="30">
        <f t="shared" ca="1" si="9"/>
        <v>0</v>
      </c>
      <c r="F191" s="30">
        <f t="shared" ca="1" si="9"/>
        <v>0</v>
      </c>
      <c r="G191" s="30">
        <f t="shared" ca="1" si="9"/>
        <v>105850.8409375</v>
      </c>
      <c r="H191" s="30">
        <f t="shared" ca="1" si="9"/>
        <v>106658.17785990467</v>
      </c>
    </row>
    <row r="192" spans="2:8">
      <c r="B192" s="152">
        <f t="shared" si="7"/>
        <v>0</v>
      </c>
      <c r="D192" s="30">
        <v>0</v>
      </c>
      <c r="E192" s="30">
        <f t="shared" ca="1" si="9"/>
        <v>96185.36996666668</v>
      </c>
      <c r="F192" s="30">
        <f t="shared" ca="1" si="9"/>
        <v>91547.861057559538</v>
      </c>
      <c r="G192" s="30">
        <f t="shared" ca="1" si="9"/>
        <v>86618.360846767871</v>
      </c>
      <c r="H192" s="30">
        <f t="shared" ca="1" si="9"/>
        <v>81385.168212275647</v>
      </c>
    </row>
    <row r="193" spans="2:8">
      <c r="B193" s="152">
        <f t="shared" si="7"/>
        <v>0</v>
      </c>
      <c r="D193" s="30">
        <v>0</v>
      </c>
      <c r="E193" s="30">
        <f t="shared" ca="1" si="9"/>
        <v>0</v>
      </c>
      <c r="F193" s="30">
        <f t="shared" ca="1" si="9"/>
        <v>4137.4646083333337</v>
      </c>
      <c r="G193" s="30">
        <f t="shared" ca="1" si="9"/>
        <v>3937.979707574405</v>
      </c>
      <c r="H193" s="30">
        <f t="shared" ca="1" si="9"/>
        <v>3725.934646397322</v>
      </c>
    </row>
    <row r="194" spans="2:8">
      <c r="B194" s="152">
        <f t="shared" si="7"/>
        <v>0</v>
      </c>
      <c r="D194" s="30">
        <v>0</v>
      </c>
      <c r="E194" s="30">
        <f t="shared" ca="1" si="9"/>
        <v>274257.52245833335</v>
      </c>
      <c r="F194" s="30">
        <f t="shared" ca="1" si="9"/>
        <v>276349.31712115114</v>
      </c>
      <c r="G194" s="30">
        <f t="shared" ca="1" si="9"/>
        <v>278374.29056557338</v>
      </c>
      <c r="H194" s="30">
        <f t="shared" ca="1" si="9"/>
        <v>280327.794359016</v>
      </c>
    </row>
    <row r="195" spans="2:8">
      <c r="B195" s="152">
        <f t="shared" si="7"/>
        <v>0</v>
      </c>
      <c r="D195" s="30">
        <v>0</v>
      </c>
      <c r="E195" s="30">
        <f t="shared" ca="1" si="9"/>
        <v>0</v>
      </c>
      <c r="F195" s="30">
        <f t="shared" ca="1" si="9"/>
        <v>1843421.6009111111</v>
      </c>
      <c r="G195" s="30">
        <f t="shared" ca="1" si="9"/>
        <v>1857481.5961722976</v>
      </c>
      <c r="H195" s="30">
        <f t="shared" ca="1" si="9"/>
        <v>1871092.4526959739</v>
      </c>
    </row>
    <row r="196" spans="2:8">
      <c r="B196" s="152">
        <f t="shared" si="7"/>
        <v>0</v>
      </c>
      <c r="D196" s="30">
        <v>0</v>
      </c>
      <c r="E196" s="30">
        <f t="shared" ca="1" si="9"/>
        <v>0</v>
      </c>
      <c r="F196" s="30">
        <f t="shared" ca="1" si="9"/>
        <v>0</v>
      </c>
      <c r="G196" s="30">
        <f t="shared" ca="1" si="9"/>
        <v>4367218.75</v>
      </c>
      <c r="H196" s="30">
        <f t="shared" ca="1" si="9"/>
        <v>4400528.0455508474</v>
      </c>
    </row>
    <row r="197" spans="2:8">
      <c r="B197" s="152">
        <f t="shared" si="7"/>
        <v>0</v>
      </c>
      <c r="D197" s="30">
        <v>0</v>
      </c>
      <c r="E197" s="30">
        <f t="shared" ca="1" si="9"/>
        <v>2310970.183375</v>
      </c>
      <c r="F197" s="30">
        <f t="shared" ca="1" si="9"/>
        <v>2287063.5952711208</v>
      </c>
      <c r="G197" s="30">
        <f t="shared" ca="1" si="9"/>
        <v>2260517.3213974382</v>
      </c>
      <c r="H197" s="30">
        <f t="shared" ca="1" si="9"/>
        <v>2231214.3190830271</v>
      </c>
    </row>
    <row r="198" spans="2:8">
      <c r="B198" s="152">
        <f t="shared" si="7"/>
        <v>0</v>
      </c>
      <c r="D198" s="30">
        <v>0</v>
      </c>
      <c r="E198" s="30">
        <f t="shared" ca="1" si="9"/>
        <v>0</v>
      </c>
      <c r="F198" s="30">
        <f t="shared" ca="1" si="9"/>
        <v>2276619.2301749997</v>
      </c>
      <c r="G198" s="30">
        <f t="shared" ca="1" si="9"/>
        <v>2253067.996759396</v>
      </c>
      <c r="H198" s="30">
        <f t="shared" ca="1" si="9"/>
        <v>2226916.3146541528</v>
      </c>
    </row>
    <row r="199" spans="2:8">
      <c r="B199" s="152">
        <f t="shared" si="7"/>
        <v>0</v>
      </c>
      <c r="D199" s="30">
        <v>0</v>
      </c>
      <c r="E199" s="30">
        <f t="shared" ca="1" si="9"/>
        <v>0</v>
      </c>
      <c r="F199" s="30">
        <f t="shared" ca="1" si="9"/>
        <v>0</v>
      </c>
      <c r="G199" s="30">
        <f t="shared" ca="1" si="9"/>
        <v>5172522.44625</v>
      </c>
      <c r="H199" s="30">
        <f t="shared" ca="1" si="9"/>
        <v>5119013.5933577586</v>
      </c>
    </row>
    <row r="200" spans="2:8">
      <c r="B200" s="152">
        <f t="shared" si="7"/>
        <v>0</v>
      </c>
      <c r="D200" s="30">
        <v>0</v>
      </c>
      <c r="E200" s="30">
        <f t="shared" ca="1" si="9"/>
        <v>0</v>
      </c>
      <c r="F200" s="30">
        <f t="shared" ca="1" si="9"/>
        <v>0</v>
      </c>
      <c r="G200" s="30">
        <f t="shared" ca="1" si="9"/>
        <v>0</v>
      </c>
      <c r="H200" s="30">
        <f t="shared" ca="1" si="9"/>
        <v>39472661.616250001</v>
      </c>
    </row>
    <row r="201" spans="2:8">
      <c r="B201" s="152">
        <f t="shared" si="7"/>
        <v>0</v>
      </c>
      <c r="D201" s="30">
        <v>0</v>
      </c>
      <c r="E201" s="30">
        <f t="shared" ca="1" si="9"/>
        <v>0</v>
      </c>
      <c r="F201" s="30">
        <f t="shared" ca="1" si="9"/>
        <v>0</v>
      </c>
      <c r="G201" s="30">
        <f t="shared" ca="1" si="9"/>
        <v>0</v>
      </c>
      <c r="H201" s="30">
        <f t="shared" ca="1" si="9"/>
        <v>0</v>
      </c>
    </row>
    <row r="202" spans="2:8">
      <c r="B202" s="152">
        <f t="shared" si="7"/>
        <v>0</v>
      </c>
      <c r="D202" s="30">
        <v>0</v>
      </c>
      <c r="E202" s="30">
        <f t="shared" ca="1" si="9"/>
        <v>0</v>
      </c>
      <c r="F202" s="30">
        <f t="shared" ca="1" si="9"/>
        <v>9670863.1199999992</v>
      </c>
      <c r="G202" s="30">
        <f t="shared" ca="1" si="9"/>
        <v>9570819.7084137928</v>
      </c>
      <c r="H202" s="30">
        <f t="shared" ca="1" si="9"/>
        <v>9459729.8367982749</v>
      </c>
    </row>
    <row r="203" spans="2:8">
      <c r="B203" s="152">
        <f t="shared" si="7"/>
        <v>0</v>
      </c>
      <c r="D203" s="30">
        <v>0</v>
      </c>
      <c r="E203" s="30">
        <f t="shared" ca="1" si="9"/>
        <v>0</v>
      </c>
      <c r="F203" s="30">
        <f t="shared" ca="1" si="9"/>
        <v>0</v>
      </c>
      <c r="G203" s="30">
        <f t="shared" ca="1" si="9"/>
        <v>9020039.7949999999</v>
      </c>
      <c r="H203" s="30">
        <f t="shared" ca="1" si="9"/>
        <v>8926729.0384999998</v>
      </c>
    </row>
    <row r="204" spans="2:8">
      <c r="B204" s="152">
        <f t="shared" si="7"/>
        <v>0</v>
      </c>
      <c r="D204" s="30">
        <v>0</v>
      </c>
      <c r="E204" s="30">
        <f t="shared" ca="1" si="9"/>
        <v>0</v>
      </c>
      <c r="F204" s="30">
        <f t="shared" ca="1" si="9"/>
        <v>0</v>
      </c>
      <c r="G204" s="30">
        <f t="shared" ca="1" si="9"/>
        <v>0</v>
      </c>
      <c r="H204" s="30">
        <f t="shared" ca="1" si="9"/>
        <v>9273791.4116666671</v>
      </c>
    </row>
    <row r="205" spans="2:8">
      <c r="B205" s="152">
        <f t="shared" si="7"/>
        <v>0</v>
      </c>
      <c r="D205" s="30">
        <v>0</v>
      </c>
      <c r="E205" s="30">
        <f t="shared" ca="1" si="9"/>
        <v>0</v>
      </c>
      <c r="F205" s="30">
        <f t="shared" ca="1" si="9"/>
        <v>0</v>
      </c>
      <c r="G205" s="30">
        <f t="shared" ca="1" si="9"/>
        <v>0</v>
      </c>
      <c r="H205" s="30">
        <f t="shared" ca="1" si="9"/>
        <v>0</v>
      </c>
    </row>
    <row r="206" spans="2:8">
      <c r="B206" s="152">
        <f t="shared" si="7"/>
        <v>0</v>
      </c>
      <c r="D206" s="30">
        <v>0</v>
      </c>
      <c r="E206" s="30">
        <f t="shared" ref="E206:H221" ca="1" si="10">D1041</f>
        <v>0</v>
      </c>
      <c r="F206" s="30">
        <f t="shared" ca="1" si="10"/>
        <v>275688.02657687501</v>
      </c>
      <c r="G206" s="30">
        <f t="shared" ca="1" si="10"/>
        <v>279003.26233950834</v>
      </c>
      <c r="H206" s="30">
        <f t="shared" ca="1" si="10"/>
        <v>282311.95487366279</v>
      </c>
    </row>
    <row r="207" spans="2:8">
      <c r="B207" s="152">
        <f t="shared" si="7"/>
        <v>0</v>
      </c>
      <c r="D207" s="30">
        <v>0</v>
      </c>
      <c r="E207" s="30">
        <f t="shared" ca="1" si="10"/>
        <v>0</v>
      </c>
      <c r="F207" s="30">
        <f t="shared" ca="1" si="10"/>
        <v>0</v>
      </c>
      <c r="G207" s="30">
        <f t="shared" ca="1" si="10"/>
        <v>8282598.3825000003</v>
      </c>
      <c r="H207" s="30">
        <f t="shared" ca="1" si="10"/>
        <v>8382199.2491249992</v>
      </c>
    </row>
    <row r="208" spans="2:8">
      <c r="B208" s="152">
        <f t="shared" si="7"/>
        <v>0</v>
      </c>
      <c r="D208" s="30">
        <v>0</v>
      </c>
      <c r="E208" s="30">
        <f t="shared" ca="1" si="10"/>
        <v>0</v>
      </c>
      <c r="F208" s="30">
        <f t="shared" ca="1" si="10"/>
        <v>0</v>
      </c>
      <c r="G208" s="30">
        <f t="shared" ca="1" si="10"/>
        <v>0</v>
      </c>
      <c r="H208" s="30">
        <f t="shared" ca="1" si="10"/>
        <v>11737845.26390625</v>
      </c>
    </row>
    <row r="209" spans="2:8">
      <c r="B209" s="152">
        <f t="shared" si="7"/>
        <v>0</v>
      </c>
      <c r="D209" s="30">
        <v>0</v>
      </c>
      <c r="E209" s="30">
        <f t="shared" ca="1" si="10"/>
        <v>0</v>
      </c>
      <c r="F209" s="30">
        <f t="shared" ca="1" si="10"/>
        <v>0</v>
      </c>
      <c r="G209" s="30">
        <f t="shared" ca="1" si="10"/>
        <v>0</v>
      </c>
      <c r="H209" s="30">
        <f t="shared" ca="1" si="10"/>
        <v>0</v>
      </c>
    </row>
    <row r="210" spans="2:8">
      <c r="B210" s="152">
        <f t="shared" si="7"/>
        <v>0</v>
      </c>
      <c r="D210" s="30">
        <v>0</v>
      </c>
      <c r="E210" s="30">
        <f t="shared" ca="1" si="10"/>
        <v>0</v>
      </c>
      <c r="F210" s="30">
        <f t="shared" ca="1" si="10"/>
        <v>4280291.666666667</v>
      </c>
      <c r="G210" s="30">
        <f t="shared" ca="1" si="10"/>
        <v>4236012.7873563226</v>
      </c>
      <c r="H210" s="30">
        <f t="shared" ca="1" si="10"/>
        <v>4186844.7817887943</v>
      </c>
    </row>
    <row r="211" spans="2:8">
      <c r="B211" s="152">
        <f t="shared" si="7"/>
        <v>0</v>
      </c>
      <c r="D211" s="30">
        <v>0</v>
      </c>
      <c r="E211" s="30">
        <f t="shared" ca="1" si="10"/>
        <v>0</v>
      </c>
      <c r="F211" s="30">
        <f t="shared" ca="1" si="10"/>
        <v>0</v>
      </c>
      <c r="G211" s="30">
        <f t="shared" ca="1" si="10"/>
        <v>18116583.333333332</v>
      </c>
      <c r="H211" s="30">
        <f t="shared" ca="1" si="10"/>
        <v>17929170.402298849</v>
      </c>
    </row>
    <row r="212" spans="2:8">
      <c r="B212" s="152">
        <f t="shared" si="7"/>
        <v>0</v>
      </c>
      <c r="D212" s="30">
        <v>0</v>
      </c>
      <c r="E212" s="30">
        <f t="shared" ca="1" si="10"/>
        <v>0</v>
      </c>
      <c r="F212" s="30">
        <f t="shared" ca="1" si="10"/>
        <v>0</v>
      </c>
      <c r="G212" s="30">
        <f t="shared" ca="1" si="10"/>
        <v>537650.42249999999</v>
      </c>
      <c r="H212" s="30">
        <f t="shared" ca="1" si="10"/>
        <v>532088.52157758619</v>
      </c>
    </row>
    <row r="213" spans="2:8">
      <c r="B213" s="152">
        <f t="shared" si="7"/>
        <v>0</v>
      </c>
      <c r="D213" s="30">
        <v>0</v>
      </c>
      <c r="E213" s="30">
        <f t="shared" ca="1" si="10"/>
        <v>0</v>
      </c>
      <c r="F213" s="30">
        <f t="shared" ca="1" si="10"/>
        <v>0</v>
      </c>
      <c r="G213" s="30">
        <f t="shared" ca="1" si="10"/>
        <v>0</v>
      </c>
      <c r="H213" s="30">
        <f t="shared" ca="1" si="10"/>
        <v>7756644.0212500002</v>
      </c>
    </row>
    <row r="214" spans="2:8">
      <c r="B214" s="152">
        <f t="shared" si="7"/>
        <v>0</v>
      </c>
      <c r="D214" s="30">
        <v>0</v>
      </c>
      <c r="E214" s="30">
        <f t="shared" ca="1" si="10"/>
        <v>0</v>
      </c>
      <c r="F214" s="30">
        <f t="shared" ca="1" si="10"/>
        <v>0</v>
      </c>
      <c r="G214" s="30">
        <f t="shared" ca="1" si="10"/>
        <v>0</v>
      </c>
      <c r="H214" s="30">
        <f t="shared" ca="1" si="10"/>
        <v>0</v>
      </c>
    </row>
    <row r="215" spans="2:8">
      <c r="B215" s="152">
        <f t="shared" si="7"/>
        <v>0</v>
      </c>
      <c r="D215" s="30">
        <v>0</v>
      </c>
      <c r="E215" s="30">
        <f t="shared" ca="1" si="10"/>
        <v>0</v>
      </c>
      <c r="F215" s="30">
        <f t="shared" ca="1" si="10"/>
        <v>0</v>
      </c>
      <c r="G215" s="30">
        <f t="shared" ca="1" si="10"/>
        <v>1029995.51625</v>
      </c>
      <c r="H215" s="30">
        <f t="shared" ca="1" si="10"/>
        <v>1000179.8565690789</v>
      </c>
    </row>
    <row r="216" spans="2:8">
      <c r="B216" s="152">
        <f t="shared" si="7"/>
        <v>0</v>
      </c>
      <c r="D216" s="30">
        <v>0</v>
      </c>
      <c r="E216" s="30">
        <f t="shared" ca="1" si="10"/>
        <v>0</v>
      </c>
      <c r="F216" s="30">
        <f t="shared" ca="1" si="10"/>
        <v>0</v>
      </c>
      <c r="G216" s="30">
        <f t="shared" ca="1" si="10"/>
        <v>0</v>
      </c>
      <c r="H216" s="30">
        <f t="shared" ca="1" si="10"/>
        <v>5284009.0225</v>
      </c>
    </row>
    <row r="217" spans="2:8">
      <c r="B217" s="152">
        <f t="shared" si="7"/>
        <v>0</v>
      </c>
      <c r="D217" s="30">
        <v>0</v>
      </c>
      <c r="E217" s="30">
        <f t="shared" ca="1" si="10"/>
        <v>0</v>
      </c>
      <c r="F217" s="30">
        <f t="shared" ca="1" si="10"/>
        <v>0</v>
      </c>
      <c r="G217" s="30">
        <f t="shared" ca="1" si="10"/>
        <v>0</v>
      </c>
      <c r="H217" s="30">
        <f t="shared" ca="1" si="10"/>
        <v>0</v>
      </c>
    </row>
    <row r="218" spans="2:8">
      <c r="B218" s="152">
        <f t="shared" si="7"/>
        <v>0</v>
      </c>
      <c r="D218" s="30">
        <v>0</v>
      </c>
      <c r="E218" s="30">
        <f t="shared" ca="1" si="10"/>
        <v>0</v>
      </c>
      <c r="F218" s="30">
        <f t="shared" ca="1" si="10"/>
        <v>0</v>
      </c>
      <c r="G218" s="30">
        <f t="shared" ca="1" si="10"/>
        <v>2077820.2559507841</v>
      </c>
      <c r="H218" s="30">
        <f t="shared" ca="1" si="10"/>
        <v>2056325.5636478451</v>
      </c>
    </row>
    <row r="219" spans="2:8">
      <c r="B219" s="152">
        <f t="shared" si="7"/>
        <v>0</v>
      </c>
      <c r="D219" s="30">
        <v>0</v>
      </c>
      <c r="E219" s="30">
        <f t="shared" ca="1" si="10"/>
        <v>0</v>
      </c>
      <c r="F219" s="30">
        <f t="shared" ca="1" si="10"/>
        <v>0</v>
      </c>
      <c r="G219" s="30">
        <f t="shared" ca="1" si="10"/>
        <v>0</v>
      </c>
      <c r="H219" s="30">
        <f t="shared" ca="1" si="10"/>
        <v>5329743.208705619</v>
      </c>
    </row>
    <row r="220" spans="2:8">
      <c r="B220" s="152">
        <f t="shared" si="7"/>
        <v>0</v>
      </c>
      <c r="D220" s="30">
        <v>0</v>
      </c>
      <c r="E220" s="30">
        <f t="shared" ca="1" si="10"/>
        <v>0</v>
      </c>
      <c r="F220" s="30">
        <f t="shared" ca="1" si="10"/>
        <v>0</v>
      </c>
      <c r="G220" s="30">
        <f t="shared" ca="1" si="10"/>
        <v>0</v>
      </c>
      <c r="H220" s="30">
        <f t="shared" ca="1" si="10"/>
        <v>0</v>
      </c>
    </row>
    <row r="221" spans="2:8">
      <c r="B221" s="152">
        <f t="shared" si="7"/>
        <v>0</v>
      </c>
      <c r="D221" s="30">
        <v>0</v>
      </c>
      <c r="E221" s="30">
        <f t="shared" ca="1" si="10"/>
        <v>0</v>
      </c>
      <c r="F221" s="30">
        <f t="shared" ca="1" si="10"/>
        <v>0</v>
      </c>
      <c r="G221" s="30">
        <f t="shared" ca="1" si="10"/>
        <v>1086834.785625</v>
      </c>
      <c r="H221" s="30">
        <f t="shared" ca="1" si="10"/>
        <v>1099904.3178571996</v>
      </c>
    </row>
    <row r="222" spans="2:8">
      <c r="B222" s="152">
        <f t="shared" si="7"/>
        <v>0</v>
      </c>
      <c r="D222" s="30">
        <v>0</v>
      </c>
      <c r="E222" s="30">
        <f t="shared" ref="E222:H237" ca="1" si="11">D1057</f>
        <v>0</v>
      </c>
      <c r="F222" s="30">
        <f t="shared" ca="1" si="11"/>
        <v>0</v>
      </c>
      <c r="G222" s="30">
        <f t="shared" ca="1" si="11"/>
        <v>0</v>
      </c>
      <c r="H222" s="30">
        <f t="shared" ca="1" si="11"/>
        <v>7821870.8289062502</v>
      </c>
    </row>
    <row r="223" spans="2:8">
      <c r="B223" s="152">
        <f t="shared" si="7"/>
        <v>0</v>
      </c>
      <c r="D223" s="30">
        <v>0</v>
      </c>
      <c r="E223" s="30">
        <f t="shared" ca="1" si="11"/>
        <v>0</v>
      </c>
      <c r="F223" s="30">
        <f t="shared" ca="1" si="11"/>
        <v>0</v>
      </c>
      <c r="G223" s="30">
        <f t="shared" ca="1" si="11"/>
        <v>0</v>
      </c>
      <c r="H223" s="30">
        <f t="shared" ca="1" si="11"/>
        <v>0</v>
      </c>
    </row>
    <row r="224" spans="2:8">
      <c r="B224" s="152">
        <f t="shared" si="7"/>
        <v>0</v>
      </c>
      <c r="D224" s="30">
        <v>0</v>
      </c>
      <c r="E224" s="30">
        <f t="shared" ca="1" si="11"/>
        <v>0</v>
      </c>
      <c r="F224" s="30">
        <f t="shared" ca="1" si="11"/>
        <v>0</v>
      </c>
      <c r="G224" s="30">
        <f t="shared" ca="1" si="11"/>
        <v>759170.20062500006</v>
      </c>
      <c r="H224" s="30">
        <f t="shared" ca="1" si="11"/>
        <v>764960.48181620776</v>
      </c>
    </row>
    <row r="225" spans="2:8">
      <c r="B225" s="152">
        <f t="shared" si="7"/>
        <v>0</v>
      </c>
      <c r="D225" s="30">
        <v>0</v>
      </c>
      <c r="E225" s="30">
        <f t="shared" ca="1" si="11"/>
        <v>0</v>
      </c>
      <c r="F225" s="30">
        <f t="shared" ca="1" si="11"/>
        <v>0</v>
      </c>
      <c r="G225" s="30">
        <f t="shared" ca="1" si="11"/>
        <v>0</v>
      </c>
      <c r="H225" s="30">
        <f t="shared" ca="1" si="11"/>
        <v>5768305.8535416666</v>
      </c>
    </row>
    <row r="226" spans="2:8">
      <c r="B226" s="152">
        <f t="shared" si="7"/>
        <v>0</v>
      </c>
      <c r="D226" s="30">
        <v>0</v>
      </c>
      <c r="E226" s="30">
        <f t="shared" ca="1" si="11"/>
        <v>0</v>
      </c>
      <c r="F226" s="30">
        <f t="shared" ca="1" si="11"/>
        <v>0</v>
      </c>
      <c r="G226" s="30">
        <f t="shared" ca="1" si="11"/>
        <v>0</v>
      </c>
      <c r="H226" s="30">
        <f t="shared" ca="1" si="11"/>
        <v>0</v>
      </c>
    </row>
    <row r="227" spans="2:8">
      <c r="B227" s="152">
        <f t="shared" si="7"/>
        <v>0</v>
      </c>
      <c r="D227" s="30">
        <v>0</v>
      </c>
      <c r="E227" s="30">
        <f t="shared" ca="1" si="11"/>
        <v>0</v>
      </c>
      <c r="F227" s="30">
        <f t="shared" ca="1" si="11"/>
        <v>910370.07625000004</v>
      </c>
      <c r="G227" s="30">
        <f t="shared" ca="1" si="11"/>
        <v>829448.29169444449</v>
      </c>
      <c r="H227" s="30">
        <f t="shared" ca="1" si="11"/>
        <v>743911.43661345483</v>
      </c>
    </row>
    <row r="228" spans="2:8">
      <c r="B228" s="152">
        <f t="shared" si="7"/>
        <v>0</v>
      </c>
      <c r="D228" s="30">
        <v>0</v>
      </c>
      <c r="E228" s="30">
        <f t="shared" ca="1" si="11"/>
        <v>0</v>
      </c>
      <c r="F228" s="30">
        <f t="shared" ca="1" si="11"/>
        <v>0</v>
      </c>
      <c r="G228" s="30">
        <f t="shared" ca="1" si="11"/>
        <v>1419240.44625</v>
      </c>
      <c r="H228" s="30">
        <f t="shared" ca="1" si="11"/>
        <v>1293085.7399166666</v>
      </c>
    </row>
    <row r="229" spans="2:8">
      <c r="B229" s="152">
        <f t="shared" si="7"/>
        <v>0</v>
      </c>
      <c r="D229" s="30">
        <v>0</v>
      </c>
      <c r="E229" s="30">
        <f t="shared" ca="1" si="11"/>
        <v>0</v>
      </c>
      <c r="F229" s="30">
        <f t="shared" ca="1" si="11"/>
        <v>0</v>
      </c>
      <c r="G229" s="30">
        <f t="shared" ca="1" si="11"/>
        <v>0</v>
      </c>
      <c r="H229" s="30">
        <f t="shared" ca="1" si="11"/>
        <v>1469601.2949999999</v>
      </c>
    </row>
    <row r="230" spans="2:8">
      <c r="B230" s="152">
        <f t="shared" si="7"/>
        <v>0</v>
      </c>
      <c r="D230" s="30">
        <v>0</v>
      </c>
      <c r="E230" s="30">
        <f t="shared" ca="1" si="11"/>
        <v>0</v>
      </c>
      <c r="F230" s="30">
        <f t="shared" ca="1" si="11"/>
        <v>0</v>
      </c>
      <c r="G230" s="30">
        <f t="shared" ca="1" si="11"/>
        <v>0</v>
      </c>
      <c r="H230" s="30">
        <f t="shared" ca="1" si="11"/>
        <v>0</v>
      </c>
    </row>
    <row r="231" spans="2:8">
      <c r="B231" s="152">
        <f t="shared" si="7"/>
        <v>0</v>
      </c>
      <c r="D231" s="30">
        <v>0</v>
      </c>
      <c r="E231" s="30">
        <f t="shared" ca="1" si="11"/>
        <v>0</v>
      </c>
      <c r="F231" s="30">
        <f t="shared" ca="1" si="11"/>
        <v>0</v>
      </c>
      <c r="G231" s="30">
        <f t="shared" ca="1" si="11"/>
        <v>526897.93166666664</v>
      </c>
      <c r="H231" s="30">
        <f t="shared" ca="1" si="11"/>
        <v>521447.26340804598</v>
      </c>
    </row>
    <row r="232" spans="2:8">
      <c r="B232" s="152">
        <f t="shared" si="7"/>
        <v>0</v>
      </c>
      <c r="D232" s="30">
        <v>0</v>
      </c>
      <c r="E232" s="30">
        <f t="shared" ca="1" si="11"/>
        <v>0</v>
      </c>
      <c r="F232" s="30">
        <f t="shared" ca="1" si="11"/>
        <v>0</v>
      </c>
      <c r="G232" s="30">
        <f t="shared" ca="1" si="11"/>
        <v>0</v>
      </c>
      <c r="H232" s="30">
        <f t="shared" ca="1" si="11"/>
        <v>4145818.8383333334</v>
      </c>
    </row>
    <row r="233" spans="2:8">
      <c r="B233" s="152">
        <f t="shared" si="7"/>
        <v>0</v>
      </c>
      <c r="D233" s="30">
        <v>0</v>
      </c>
      <c r="E233" s="30">
        <f t="shared" ca="1" si="11"/>
        <v>3144111.068654167</v>
      </c>
      <c r="F233" s="30">
        <f t="shared" ca="1" si="11"/>
        <v>3111585.7817370552</v>
      </c>
      <c r="G233" s="30">
        <f t="shared" ca="1" si="11"/>
        <v>3075469.1610561786</v>
      </c>
      <c r="H233" s="30">
        <f t="shared" ca="1" si="11"/>
        <v>3035601.9682276729</v>
      </c>
    </row>
    <row r="234" spans="2:8">
      <c r="B234" s="152">
        <f t="shared" si="7"/>
        <v>0</v>
      </c>
      <c r="D234" s="30">
        <v>0</v>
      </c>
      <c r="E234" s="30">
        <f t="shared" ca="1" si="11"/>
        <v>0</v>
      </c>
      <c r="F234" s="30">
        <f t="shared" ca="1" si="11"/>
        <v>956851.90567916655</v>
      </c>
      <c r="G234" s="30">
        <f t="shared" ca="1" si="11"/>
        <v>946953.43768938212</v>
      </c>
      <c r="H234" s="30">
        <f t="shared" ca="1" si="11"/>
        <v>935962.01385905896</v>
      </c>
    </row>
    <row r="235" spans="2:8">
      <c r="B235" s="152">
        <f t="shared" si="7"/>
        <v>0</v>
      </c>
      <c r="D235" s="30">
        <v>0</v>
      </c>
      <c r="E235" s="30">
        <f t="shared" ca="1" si="11"/>
        <v>1627956.3674624998</v>
      </c>
      <c r="F235" s="30">
        <f t="shared" ca="1" si="11"/>
        <v>1611115.4395232326</v>
      </c>
      <c r="G235" s="30">
        <f t="shared" ca="1" si="11"/>
        <v>1592414.9924573381</v>
      </c>
      <c r="H235" s="30">
        <f t="shared" ca="1" si="11"/>
        <v>1571772.5758884468</v>
      </c>
    </row>
    <row r="236" spans="2:8">
      <c r="B236" s="152">
        <f t="shared" si="7"/>
        <v>0</v>
      </c>
      <c r="D236" s="30">
        <v>0</v>
      </c>
      <c r="E236" s="30">
        <f t="shared" ca="1" si="11"/>
        <v>0</v>
      </c>
      <c r="F236" s="30">
        <f t="shared" ca="1" si="11"/>
        <v>2067741.6040458332</v>
      </c>
      <c r="G236" s="30">
        <f t="shared" ca="1" si="11"/>
        <v>2046351.1736591519</v>
      </c>
      <c r="H236" s="30">
        <f t="shared" ca="1" si="11"/>
        <v>2022598.8832506081</v>
      </c>
    </row>
    <row r="237" spans="2:8">
      <c r="B237" s="152">
        <f t="shared" si="7"/>
        <v>0</v>
      </c>
      <c r="D237" s="30">
        <v>0</v>
      </c>
      <c r="E237" s="30">
        <f t="shared" ca="1" si="11"/>
        <v>0</v>
      </c>
      <c r="F237" s="30">
        <f t="shared" ca="1" si="11"/>
        <v>0</v>
      </c>
      <c r="G237" s="30">
        <f t="shared" ca="1" si="11"/>
        <v>100437.54166666667</v>
      </c>
      <c r="H237" s="30">
        <f t="shared" ca="1" si="11"/>
        <v>99398.532614942524</v>
      </c>
    </row>
    <row r="238" spans="2:8">
      <c r="B238" s="152">
        <f t="shared" si="7"/>
        <v>0</v>
      </c>
      <c r="D238" s="30">
        <v>0</v>
      </c>
      <c r="E238" s="30">
        <f t="shared" ref="E238:H253" ca="1" si="12">D1073</f>
        <v>1605010.5941718754</v>
      </c>
      <c r="F238" s="30">
        <f t="shared" ca="1" si="12"/>
        <v>1624311.3544815371</v>
      </c>
      <c r="G238" s="30">
        <f t="shared" ca="1" si="12"/>
        <v>1643574.0211853248</v>
      </c>
      <c r="H238" s="30">
        <f t="shared" ca="1" si="12"/>
        <v>1662784.6266277507</v>
      </c>
    </row>
    <row r="239" spans="2:8">
      <c r="B239" s="152">
        <f t="shared" si="7"/>
        <v>0</v>
      </c>
      <c r="D239" s="30">
        <v>0</v>
      </c>
      <c r="E239" s="30">
        <f t="shared" ca="1" si="12"/>
        <v>0</v>
      </c>
      <c r="F239" s="30">
        <f t="shared" ca="1" si="12"/>
        <v>2166085.9283296876</v>
      </c>
      <c r="G239" s="30">
        <f t="shared" ca="1" si="12"/>
        <v>2192133.7970880829</v>
      </c>
      <c r="H239" s="30">
        <f t="shared" ca="1" si="12"/>
        <v>2218130.2555791913</v>
      </c>
    </row>
    <row r="240" spans="2:8">
      <c r="B240" s="152">
        <f t="shared" si="7"/>
        <v>0</v>
      </c>
      <c r="D240" s="30">
        <v>0</v>
      </c>
      <c r="E240" s="30">
        <f t="shared" ca="1" si="12"/>
        <v>0</v>
      </c>
      <c r="F240" s="30">
        <f t="shared" ca="1" si="12"/>
        <v>0</v>
      </c>
      <c r="G240" s="30">
        <f t="shared" ca="1" si="12"/>
        <v>533036.84624999994</v>
      </c>
      <c r="H240" s="30">
        <f t="shared" ca="1" si="12"/>
        <v>517606.83227960515</v>
      </c>
    </row>
    <row r="241" spans="2:8">
      <c r="B241" s="152">
        <f t="shared" si="7"/>
        <v>0</v>
      </c>
      <c r="D241" s="30">
        <v>0</v>
      </c>
      <c r="E241" s="30">
        <f t="shared" ca="1" si="12"/>
        <v>0</v>
      </c>
      <c r="F241" s="30">
        <f t="shared" ca="1" si="12"/>
        <v>0</v>
      </c>
      <c r="G241" s="30">
        <f t="shared" ca="1" si="12"/>
        <v>0</v>
      </c>
      <c r="H241" s="30">
        <f t="shared" ca="1" si="12"/>
        <v>1561892.5218750001</v>
      </c>
    </row>
    <row r="242" spans="2:8">
      <c r="B242" s="152">
        <f t="shared" si="7"/>
        <v>0</v>
      </c>
      <c r="D242" s="30">
        <v>0</v>
      </c>
      <c r="E242" s="30">
        <f t="shared" ca="1" si="12"/>
        <v>0</v>
      </c>
      <c r="F242" s="30">
        <f t="shared" ca="1" si="12"/>
        <v>0</v>
      </c>
      <c r="G242" s="30">
        <f t="shared" ca="1" si="12"/>
        <v>0</v>
      </c>
      <c r="H242" s="30">
        <f t="shared" ca="1" si="12"/>
        <v>0</v>
      </c>
    </row>
    <row r="243" spans="2:8">
      <c r="B243" s="152">
        <f t="shared" si="7"/>
        <v>0</v>
      </c>
      <c r="D243" s="30">
        <v>0</v>
      </c>
      <c r="E243" s="30">
        <f t="shared" ca="1" si="12"/>
        <v>175157.55220624999</v>
      </c>
      <c r="F243" s="30">
        <f t="shared" ca="1" si="12"/>
        <v>170087.20201080589</v>
      </c>
      <c r="G243" s="30">
        <f t="shared" ca="1" si="12"/>
        <v>164653.86083546068</v>
      </c>
      <c r="H243" s="30">
        <f t="shared" ca="1" si="12"/>
        <v>158842.54810009149</v>
      </c>
    </row>
    <row r="244" spans="2:8">
      <c r="B244" s="152">
        <f t="shared" si="7"/>
        <v>0</v>
      </c>
      <c r="D244" s="30">
        <v>0</v>
      </c>
      <c r="E244" s="30">
        <f t="shared" ca="1" si="12"/>
        <v>0</v>
      </c>
      <c r="F244" s="30">
        <f t="shared" ca="1" si="12"/>
        <v>229401.81752500002</v>
      </c>
      <c r="G244" s="30">
        <f t="shared" ca="1" si="12"/>
        <v>222761.23859664475</v>
      </c>
      <c r="H244" s="30">
        <f t="shared" ca="1" si="12"/>
        <v>215645.25458591859</v>
      </c>
    </row>
    <row r="245" spans="2:8">
      <c r="B245" s="152">
        <f t="shared" si="7"/>
        <v>0</v>
      </c>
      <c r="D245" s="30">
        <v>0</v>
      </c>
      <c r="E245" s="30">
        <f t="shared" ca="1" si="12"/>
        <v>0</v>
      </c>
      <c r="F245" s="30">
        <f t="shared" ca="1" si="12"/>
        <v>0</v>
      </c>
      <c r="G245" s="30">
        <f t="shared" ca="1" si="12"/>
        <v>2279088.1381250001</v>
      </c>
      <c r="H245" s="30">
        <f t="shared" ca="1" si="12"/>
        <v>2213114.534126645</v>
      </c>
    </row>
    <row r="246" spans="2:8">
      <c r="B246" s="152">
        <f t="shared" si="7"/>
        <v>0</v>
      </c>
      <c r="D246" s="30">
        <v>0</v>
      </c>
      <c r="E246" s="30">
        <f t="shared" ca="1" si="12"/>
        <v>0</v>
      </c>
      <c r="F246" s="30">
        <f t="shared" ca="1" si="12"/>
        <v>0</v>
      </c>
      <c r="G246" s="30">
        <f t="shared" ca="1" si="12"/>
        <v>0</v>
      </c>
      <c r="H246" s="30">
        <f t="shared" ca="1" si="12"/>
        <v>143212.33937500001</v>
      </c>
    </row>
    <row r="247" spans="2:8">
      <c r="B247" s="152">
        <f t="shared" si="7"/>
        <v>0</v>
      </c>
      <c r="D247" s="30">
        <v>0</v>
      </c>
      <c r="E247" s="30">
        <f t="shared" ca="1" si="12"/>
        <v>0</v>
      </c>
      <c r="F247" s="30">
        <f t="shared" ca="1" si="12"/>
        <v>0</v>
      </c>
      <c r="G247" s="30">
        <f t="shared" ca="1" si="12"/>
        <v>0</v>
      </c>
      <c r="H247" s="30">
        <f t="shared" ca="1" si="12"/>
        <v>1396762.97140625</v>
      </c>
    </row>
    <row r="248" spans="2:8">
      <c r="B248" s="152">
        <f t="shared" si="7"/>
        <v>0</v>
      </c>
      <c r="D248" s="30">
        <v>0</v>
      </c>
      <c r="E248" s="30">
        <f t="shared" ca="1" si="12"/>
        <v>0</v>
      </c>
      <c r="F248" s="30">
        <f t="shared" ca="1" si="12"/>
        <v>0</v>
      </c>
      <c r="G248" s="30">
        <f t="shared" ca="1" si="12"/>
        <v>0</v>
      </c>
      <c r="H248" s="30">
        <f t="shared" ca="1" si="12"/>
        <v>0</v>
      </c>
    </row>
    <row r="249" spans="2:8">
      <c r="B249" s="152">
        <f t="shared" si="7"/>
        <v>0</v>
      </c>
      <c r="D249" s="30">
        <v>0</v>
      </c>
      <c r="E249" s="30">
        <f t="shared" ca="1" si="12"/>
        <v>243549.59125</v>
      </c>
      <c r="F249" s="30">
        <f t="shared" ca="1" si="12"/>
        <v>241030.11271982759</v>
      </c>
      <c r="G249" s="30">
        <f t="shared" ca="1" si="12"/>
        <v>238232.44176861533</v>
      </c>
      <c r="H249" s="30">
        <f t="shared" ca="1" si="12"/>
        <v>235144.24344939252</v>
      </c>
    </row>
    <row r="250" spans="2:8">
      <c r="B250" s="152">
        <f t="shared" si="7"/>
        <v>0</v>
      </c>
      <c r="D250" s="30">
        <v>0</v>
      </c>
      <c r="E250" s="30">
        <f t="shared" ca="1" si="12"/>
        <v>0</v>
      </c>
      <c r="F250" s="30">
        <f t="shared" ca="1" si="12"/>
        <v>2358915.5121291671</v>
      </c>
      <c r="G250" s="30">
        <f t="shared" ca="1" si="12"/>
        <v>2334512.9378657616</v>
      </c>
      <c r="H250" s="30">
        <f t="shared" ca="1" si="12"/>
        <v>2307415.9126941054</v>
      </c>
    </row>
    <row r="251" spans="2:8">
      <c r="B251" s="152">
        <f t="shared" si="7"/>
        <v>0</v>
      </c>
      <c r="D251" s="30">
        <v>0</v>
      </c>
      <c r="E251" s="30">
        <f t="shared" ca="1" si="12"/>
        <v>0</v>
      </c>
      <c r="F251" s="30">
        <f t="shared" ca="1" si="12"/>
        <v>0</v>
      </c>
      <c r="G251" s="30">
        <f t="shared" ca="1" si="12"/>
        <v>268825.21124999999</v>
      </c>
      <c r="H251" s="30">
        <f t="shared" ca="1" si="12"/>
        <v>266044.26078879309</v>
      </c>
    </row>
    <row r="252" spans="2:8">
      <c r="B252" s="152">
        <f t="shared" si="7"/>
        <v>0</v>
      </c>
      <c r="D252" s="30">
        <v>0</v>
      </c>
      <c r="E252" s="30">
        <f t="shared" ca="1" si="12"/>
        <v>0</v>
      </c>
      <c r="F252" s="30">
        <f t="shared" ca="1" si="12"/>
        <v>0</v>
      </c>
      <c r="G252" s="30">
        <f t="shared" ca="1" si="12"/>
        <v>0</v>
      </c>
      <c r="H252" s="30">
        <f t="shared" ca="1" si="12"/>
        <v>1451036.7925</v>
      </c>
    </row>
    <row r="253" spans="2:8">
      <c r="B253" s="152">
        <f t="shared" ref="B253:B316" si="13">B87</f>
        <v>0</v>
      </c>
      <c r="D253" s="30">
        <v>0</v>
      </c>
      <c r="E253" s="30">
        <f t="shared" ca="1" si="12"/>
        <v>0</v>
      </c>
      <c r="F253" s="30">
        <f t="shared" ca="1" si="12"/>
        <v>0</v>
      </c>
      <c r="G253" s="30">
        <f t="shared" ca="1" si="12"/>
        <v>0</v>
      </c>
      <c r="H253" s="30">
        <f t="shared" ca="1" si="12"/>
        <v>0</v>
      </c>
    </row>
    <row r="254" spans="2:8">
      <c r="B254" s="152">
        <f t="shared" si="13"/>
        <v>0</v>
      </c>
      <c r="D254" s="30">
        <v>0</v>
      </c>
      <c r="E254" s="30">
        <f t="shared" ref="E254:H269" ca="1" si="14">D1089</f>
        <v>412157.72527083335</v>
      </c>
      <c r="F254" s="30">
        <f t="shared" ca="1" si="14"/>
        <v>415301.30114154308</v>
      </c>
      <c r="G254" s="30">
        <f t="shared" ca="1" si="14"/>
        <v>418344.45722749404</v>
      </c>
      <c r="H254" s="30">
        <f t="shared" ca="1" si="14"/>
        <v>421280.20780452911</v>
      </c>
    </row>
    <row r="255" spans="2:8">
      <c r="B255" s="152">
        <f t="shared" si="13"/>
        <v>0</v>
      </c>
      <c r="D255" s="30">
        <v>0</v>
      </c>
      <c r="E255" s="30">
        <f t="shared" ca="1" si="14"/>
        <v>0</v>
      </c>
      <c r="F255" s="30">
        <f t="shared" ca="1" si="14"/>
        <v>169368.37320833333</v>
      </c>
      <c r="G255" s="30">
        <f t="shared" ca="1" si="14"/>
        <v>170660.16588534604</v>
      </c>
      <c r="H255" s="30">
        <f t="shared" ca="1" si="14"/>
        <v>171910.69296295417</v>
      </c>
    </row>
    <row r="256" spans="2:8">
      <c r="B256" s="152">
        <f t="shared" si="13"/>
        <v>0</v>
      </c>
      <c r="D256" s="30">
        <v>0</v>
      </c>
      <c r="E256" s="30">
        <f t="shared" ca="1" si="14"/>
        <v>0</v>
      </c>
      <c r="F256" s="30">
        <f t="shared" ca="1" si="14"/>
        <v>0</v>
      </c>
      <c r="G256" s="30">
        <f t="shared" ca="1" si="14"/>
        <v>1633548.6358333332</v>
      </c>
      <c r="H256" s="30">
        <f t="shared" ca="1" si="14"/>
        <v>1646007.9050896892</v>
      </c>
    </row>
    <row r="257" spans="2:8">
      <c r="B257" s="152">
        <f t="shared" si="13"/>
        <v>0</v>
      </c>
      <c r="D257" s="30">
        <v>0</v>
      </c>
      <c r="E257" s="30">
        <f t="shared" ca="1" si="14"/>
        <v>1988578.4112104166</v>
      </c>
      <c r="F257" s="30">
        <f t="shared" ca="1" si="14"/>
        <v>2003745.5346857503</v>
      </c>
      <c r="G257" s="30">
        <f t="shared" ca="1" si="14"/>
        <v>2018428.152827844</v>
      </c>
      <c r="H257" s="30">
        <f t="shared" ca="1" si="14"/>
        <v>2032592.5609178641</v>
      </c>
    </row>
    <row r="258" spans="2:8">
      <c r="B258" s="152">
        <f t="shared" si="13"/>
        <v>0</v>
      </c>
      <c r="D258" s="30">
        <v>0</v>
      </c>
      <c r="E258" s="30">
        <f t="shared" ca="1" si="14"/>
        <v>0</v>
      </c>
      <c r="F258" s="30">
        <f t="shared" ca="1" si="14"/>
        <v>45808.239368749993</v>
      </c>
      <c r="G258" s="30">
        <f t="shared" ca="1" si="14"/>
        <v>46157.624245291307</v>
      </c>
      <c r="H258" s="30">
        <f t="shared" ca="1" si="14"/>
        <v>46495.848216054212</v>
      </c>
    </row>
    <row r="259" spans="2:8">
      <c r="B259" s="152">
        <f t="shared" si="13"/>
        <v>0</v>
      </c>
      <c r="D259" s="30">
        <v>0</v>
      </c>
      <c r="E259" s="30">
        <f t="shared" ca="1" si="14"/>
        <v>290059.11195781245</v>
      </c>
      <c r="F259" s="30">
        <f t="shared" ca="1" si="14"/>
        <v>293547.16456996335</v>
      </c>
      <c r="G259" s="30">
        <f t="shared" ca="1" si="14"/>
        <v>297028.33286774816</v>
      </c>
      <c r="H259" s="30">
        <f t="shared" ca="1" si="14"/>
        <v>300500.092602566</v>
      </c>
    </row>
    <row r="260" spans="2:8">
      <c r="B260" s="152">
        <f t="shared" si="13"/>
        <v>0</v>
      </c>
      <c r="D260" s="30">
        <v>0</v>
      </c>
      <c r="E260" s="30">
        <f t="shared" ca="1" si="14"/>
        <v>0</v>
      </c>
      <c r="F260" s="30">
        <f t="shared" ca="1" si="14"/>
        <v>172202.56356874999</v>
      </c>
      <c r="G260" s="30">
        <f t="shared" ca="1" si="14"/>
        <v>174273.35389014633</v>
      </c>
      <c r="H260" s="30">
        <f t="shared" ca="1" si="14"/>
        <v>176340.05712538207</v>
      </c>
    </row>
    <row r="261" spans="2:8">
      <c r="B261" s="152">
        <f t="shared" si="13"/>
        <v>0</v>
      </c>
      <c r="D261" s="30">
        <v>0</v>
      </c>
      <c r="E261" s="30">
        <f t="shared" ca="1" si="14"/>
        <v>0</v>
      </c>
      <c r="F261" s="30">
        <f t="shared" ca="1" si="14"/>
        <v>0</v>
      </c>
      <c r="G261" s="30">
        <f t="shared" ca="1" si="14"/>
        <v>434734.11546875001</v>
      </c>
      <c r="H261" s="30">
        <f t="shared" ca="1" si="14"/>
        <v>439961.9307813489</v>
      </c>
    </row>
    <row r="262" spans="2:8">
      <c r="B262" s="152">
        <f t="shared" si="13"/>
        <v>0</v>
      </c>
      <c r="D262" s="30">
        <v>0</v>
      </c>
      <c r="E262" s="30">
        <f t="shared" ca="1" si="14"/>
        <v>0</v>
      </c>
      <c r="F262" s="30">
        <f t="shared" ca="1" si="14"/>
        <v>0</v>
      </c>
      <c r="G262" s="30">
        <f t="shared" ca="1" si="14"/>
        <v>0</v>
      </c>
      <c r="H262" s="30">
        <f t="shared" ca="1" si="14"/>
        <v>446964.19109375001</v>
      </c>
    </row>
    <row r="263" spans="2:8">
      <c r="B263" s="152">
        <f t="shared" si="13"/>
        <v>0</v>
      </c>
      <c r="D263" s="30">
        <v>0</v>
      </c>
      <c r="E263" s="30">
        <f t="shared" ca="1" si="14"/>
        <v>0</v>
      </c>
      <c r="F263" s="30">
        <f t="shared" ca="1" si="14"/>
        <v>0</v>
      </c>
      <c r="G263" s="30">
        <f t="shared" ca="1" si="14"/>
        <v>0</v>
      </c>
      <c r="H263" s="30">
        <f t="shared" ca="1" si="14"/>
        <v>0</v>
      </c>
    </row>
    <row r="264" spans="2:8">
      <c r="B264" s="152">
        <f t="shared" si="13"/>
        <v>0</v>
      </c>
      <c r="D264" s="30">
        <v>0</v>
      </c>
      <c r="E264" s="30">
        <f t="shared" ca="1" si="14"/>
        <v>0</v>
      </c>
      <c r="F264" s="30">
        <f t="shared" ca="1" si="14"/>
        <v>0</v>
      </c>
      <c r="G264" s="30">
        <f t="shared" ca="1" si="14"/>
        <v>0</v>
      </c>
      <c r="H264" s="30">
        <f t="shared" ca="1" si="14"/>
        <v>109606.285</v>
      </c>
    </row>
    <row r="265" spans="2:8">
      <c r="B265" s="152">
        <f t="shared" si="13"/>
        <v>0</v>
      </c>
      <c r="D265" s="30">
        <v>0</v>
      </c>
      <c r="E265" s="30">
        <f t="shared" ca="1" si="14"/>
        <v>0</v>
      </c>
      <c r="F265" s="30">
        <f t="shared" ca="1" si="14"/>
        <v>0</v>
      </c>
      <c r="G265" s="30">
        <f t="shared" ca="1" si="14"/>
        <v>0</v>
      </c>
      <c r="H265" s="30">
        <f t="shared" ca="1" si="14"/>
        <v>0</v>
      </c>
    </row>
    <row r="266" spans="2:8">
      <c r="B266" s="152">
        <f t="shared" si="13"/>
        <v>0</v>
      </c>
      <c r="D266" s="30">
        <v>0</v>
      </c>
      <c r="E266" s="30">
        <f t="shared" ca="1" si="14"/>
        <v>0</v>
      </c>
      <c r="F266" s="30">
        <f t="shared" ca="1" si="14"/>
        <v>0</v>
      </c>
      <c r="G266" s="30">
        <f t="shared" ca="1" si="14"/>
        <v>324659.41499231005</v>
      </c>
      <c r="H266" s="30">
        <f t="shared" ca="1" si="14"/>
        <v>321300.86931997578</v>
      </c>
    </row>
    <row r="267" spans="2:8">
      <c r="B267" s="152">
        <f t="shared" si="13"/>
        <v>0</v>
      </c>
      <c r="D267" s="30">
        <v>0</v>
      </c>
      <c r="E267" s="30">
        <f t="shared" ca="1" si="14"/>
        <v>0</v>
      </c>
      <c r="F267" s="30">
        <f t="shared" ca="1" si="14"/>
        <v>0</v>
      </c>
      <c r="G267" s="30">
        <f t="shared" ca="1" si="14"/>
        <v>0</v>
      </c>
      <c r="H267" s="30">
        <f t="shared" ca="1" si="14"/>
        <v>333108.95054410119</v>
      </c>
    </row>
    <row r="268" spans="2:8">
      <c r="B268" s="152">
        <f t="shared" si="13"/>
        <v>0</v>
      </c>
      <c r="D268" s="30">
        <v>0</v>
      </c>
      <c r="E268" s="30">
        <f t="shared" ca="1" si="14"/>
        <v>0</v>
      </c>
      <c r="F268" s="30">
        <f t="shared" ca="1" si="14"/>
        <v>0</v>
      </c>
      <c r="G268" s="30">
        <f t="shared" ca="1" si="14"/>
        <v>0</v>
      </c>
      <c r="H268" s="30">
        <f t="shared" ca="1" si="14"/>
        <v>0</v>
      </c>
    </row>
    <row r="269" spans="2:8">
      <c r="B269" s="152">
        <f t="shared" si="13"/>
        <v>0</v>
      </c>
      <c r="D269" s="30">
        <v>0</v>
      </c>
      <c r="E269" s="30">
        <f t="shared" ca="1" si="14"/>
        <v>0</v>
      </c>
      <c r="F269" s="30">
        <f t="shared" ca="1" si="14"/>
        <v>0</v>
      </c>
      <c r="G269" s="30">
        <f t="shared" ca="1" si="14"/>
        <v>0</v>
      </c>
      <c r="H269" s="30">
        <f t="shared" ca="1" si="14"/>
        <v>428401.45250000001</v>
      </c>
    </row>
    <row r="270" spans="2:8">
      <c r="B270" s="152">
        <f t="shared" si="13"/>
        <v>0</v>
      </c>
      <c r="D270" s="30">
        <v>0</v>
      </c>
      <c r="E270" s="30">
        <f t="shared" ref="E270:H285" ca="1" si="15">D1105</f>
        <v>0</v>
      </c>
      <c r="F270" s="30">
        <f t="shared" ca="1" si="15"/>
        <v>0</v>
      </c>
      <c r="G270" s="30">
        <f t="shared" ca="1" si="15"/>
        <v>0</v>
      </c>
      <c r="H270" s="30">
        <f t="shared" ca="1" si="15"/>
        <v>0</v>
      </c>
    </row>
    <row r="271" spans="2:8">
      <c r="B271" s="152">
        <f t="shared" si="13"/>
        <v>0</v>
      </c>
      <c r="D271" s="30">
        <v>0</v>
      </c>
      <c r="E271" s="30">
        <f t="shared" ca="1" si="15"/>
        <v>93545.339257812506</v>
      </c>
      <c r="F271" s="30">
        <f t="shared" ca="1" si="15"/>
        <v>94670.251565343162</v>
      </c>
      <c r="G271" s="30">
        <f t="shared" ca="1" si="15"/>
        <v>95792.943651214227</v>
      </c>
      <c r="H271" s="30">
        <f t="shared" ca="1" si="15"/>
        <v>96912.601434150492</v>
      </c>
    </row>
    <row r="272" spans="2:8">
      <c r="B272" s="152">
        <f t="shared" si="13"/>
        <v>0</v>
      </c>
      <c r="D272" s="30">
        <v>0</v>
      </c>
      <c r="E272" s="30">
        <f t="shared" ca="1" si="15"/>
        <v>0</v>
      </c>
      <c r="F272" s="30">
        <f t="shared" ca="1" si="15"/>
        <v>742906.39601093752</v>
      </c>
      <c r="G272" s="30">
        <f t="shared" ca="1" si="15"/>
        <v>751840.08051992976</v>
      </c>
      <c r="H272" s="30">
        <f t="shared" ca="1" si="15"/>
        <v>760756.13275686477</v>
      </c>
    </row>
    <row r="273" spans="2:8">
      <c r="B273" s="152">
        <f t="shared" si="13"/>
        <v>0</v>
      </c>
      <c r="D273" s="30">
        <v>0</v>
      </c>
      <c r="E273" s="30">
        <f t="shared" ca="1" si="15"/>
        <v>808574.85969374992</v>
      </c>
      <c r="F273" s="30">
        <f t="shared" ca="1" si="15"/>
        <v>814741.95608124463</v>
      </c>
      <c r="G273" s="30">
        <f t="shared" ca="1" si="15"/>
        <v>820712.04800080555</v>
      </c>
      <c r="H273" s="30">
        <f t="shared" ca="1" si="15"/>
        <v>826471.43079379364</v>
      </c>
    </row>
    <row r="274" spans="2:8">
      <c r="B274" s="152">
        <f t="shared" si="13"/>
        <v>0</v>
      </c>
      <c r="D274" s="30">
        <v>0</v>
      </c>
      <c r="E274" s="30">
        <f t="shared" ca="1" si="15"/>
        <v>0</v>
      </c>
      <c r="F274" s="30">
        <f t="shared" ca="1" si="15"/>
        <v>22256.521381249997</v>
      </c>
      <c r="G274" s="30">
        <f t="shared" ca="1" si="15"/>
        <v>22426.274510429022</v>
      </c>
      <c r="H274" s="30">
        <f t="shared" ca="1" si="15"/>
        <v>22590.60497020372</v>
      </c>
    </row>
    <row r="275" spans="2:8">
      <c r="B275" s="152">
        <f t="shared" si="13"/>
        <v>0</v>
      </c>
      <c r="D275" s="30">
        <v>0</v>
      </c>
      <c r="E275" s="30">
        <f t="shared" ca="1" si="15"/>
        <v>536922.7697437501</v>
      </c>
      <c r="F275" s="30">
        <f t="shared" ca="1" si="15"/>
        <v>541017.94341128715</v>
      </c>
      <c r="G275" s="30">
        <f t="shared" ca="1" si="15"/>
        <v>544982.2990311113</v>
      </c>
      <c r="H275" s="30">
        <f t="shared" ca="1" si="15"/>
        <v>548806.73621729459</v>
      </c>
    </row>
    <row r="276" spans="2:8">
      <c r="B276" s="152">
        <f t="shared" si="13"/>
        <v>0</v>
      </c>
      <c r="D276" s="30">
        <v>0</v>
      </c>
      <c r="E276" s="30">
        <f t="shared" ca="1" si="15"/>
        <v>0</v>
      </c>
      <c r="F276" s="30">
        <f t="shared" ca="1" si="15"/>
        <v>165096.10883749998</v>
      </c>
      <c r="G276" s="30">
        <f t="shared" ca="1" si="15"/>
        <v>166355.31644727752</v>
      </c>
      <c r="H276" s="30">
        <f t="shared" ca="1" si="15"/>
        <v>167574.29936952051</v>
      </c>
    </row>
    <row r="277" spans="2:8">
      <c r="B277" s="152">
        <f t="shared" si="13"/>
        <v>0</v>
      </c>
      <c r="D277" s="30">
        <v>0</v>
      </c>
      <c r="E277" s="30">
        <f t="shared" ca="1" si="15"/>
        <v>0</v>
      </c>
      <c r="F277" s="30">
        <f t="shared" ca="1" si="15"/>
        <v>0</v>
      </c>
      <c r="G277" s="30">
        <f t="shared" ca="1" si="15"/>
        <v>649318.8299846201</v>
      </c>
      <c r="H277" s="30">
        <f t="shared" ca="1" si="15"/>
        <v>642601.73863995157</v>
      </c>
    </row>
    <row r="278" spans="2:8">
      <c r="B278" s="152">
        <f t="shared" si="13"/>
        <v>0</v>
      </c>
      <c r="D278" s="30">
        <v>0</v>
      </c>
      <c r="E278" s="30">
        <f t="shared" ca="1" si="15"/>
        <v>16535.906560416672</v>
      </c>
      <c r="F278" s="30">
        <f t="shared" ca="1" si="15"/>
        <v>16662.027881640188</v>
      </c>
      <c r="G278" s="30">
        <f t="shared" ca="1" si="15"/>
        <v>16784.120327324621</v>
      </c>
      <c r="H278" s="30">
        <f t="shared" ca="1" si="15"/>
        <v>16901.90362786725</v>
      </c>
    </row>
    <row r="279" spans="2:8">
      <c r="B279" s="152">
        <f t="shared" si="13"/>
        <v>0</v>
      </c>
      <c r="D279" s="30">
        <v>0</v>
      </c>
      <c r="E279" s="30">
        <f t="shared" ca="1" si="15"/>
        <v>0</v>
      </c>
      <c r="F279" s="30">
        <f t="shared" ca="1" si="15"/>
        <v>185027.87032583333</v>
      </c>
      <c r="G279" s="30">
        <f t="shared" ca="1" si="15"/>
        <v>186439.09984526766</v>
      </c>
      <c r="H279" s="30">
        <f t="shared" ca="1" si="15"/>
        <v>187805.24842172005</v>
      </c>
    </row>
    <row r="280" spans="2:8">
      <c r="B280" s="152">
        <f t="shared" si="13"/>
        <v>0</v>
      </c>
      <c r="D280" s="30">
        <v>0</v>
      </c>
      <c r="E280" s="30">
        <f t="shared" ca="1" si="15"/>
        <v>0</v>
      </c>
      <c r="F280" s="30">
        <f t="shared" ca="1" si="15"/>
        <v>0</v>
      </c>
      <c r="G280" s="30">
        <f t="shared" ca="1" si="15"/>
        <v>216905.19791666666</v>
      </c>
      <c r="H280" s="30">
        <f t="shared" ca="1" si="15"/>
        <v>218559.55959569209</v>
      </c>
    </row>
    <row r="281" spans="2:8">
      <c r="B281" s="152">
        <f t="shared" si="13"/>
        <v>0</v>
      </c>
      <c r="D281" s="30">
        <v>0</v>
      </c>
      <c r="E281" s="30">
        <f t="shared" ca="1" si="15"/>
        <v>157297.56129583338</v>
      </c>
      <c r="F281" s="30">
        <f t="shared" ca="1" si="15"/>
        <v>158497.28845825922</v>
      </c>
      <c r="G281" s="30">
        <f t="shared" ca="1" si="15"/>
        <v>159658.69100299646</v>
      </c>
      <c r="H281" s="30">
        <f t="shared" ca="1" si="15"/>
        <v>160779.10286968417</v>
      </c>
    </row>
    <row r="282" spans="2:8">
      <c r="B282" s="152">
        <f t="shared" si="13"/>
        <v>0</v>
      </c>
      <c r="D282" s="30">
        <v>0</v>
      </c>
      <c r="E282" s="30">
        <f t="shared" ca="1" si="15"/>
        <v>0</v>
      </c>
      <c r="F282" s="30">
        <f t="shared" ca="1" si="15"/>
        <v>115807.196125</v>
      </c>
      <c r="G282" s="30">
        <f t="shared" ca="1" si="15"/>
        <v>116690.47134968221</v>
      </c>
      <c r="H282" s="30">
        <f t="shared" ca="1" si="15"/>
        <v>117545.53083802039</v>
      </c>
    </row>
    <row r="283" spans="2:8">
      <c r="B283" s="152">
        <f t="shared" si="13"/>
        <v>0</v>
      </c>
      <c r="D283" s="30">
        <v>0</v>
      </c>
      <c r="E283" s="30">
        <f t="shared" ca="1" si="15"/>
        <v>0</v>
      </c>
      <c r="F283" s="30">
        <f t="shared" ca="1" si="15"/>
        <v>0</v>
      </c>
      <c r="G283" s="30">
        <f t="shared" ca="1" si="15"/>
        <v>0</v>
      </c>
      <c r="H283" s="30">
        <f t="shared" ca="1" si="15"/>
        <v>262730.87604166666</v>
      </c>
    </row>
    <row r="284" spans="2:8">
      <c r="B284" s="152">
        <f t="shared" si="13"/>
        <v>0</v>
      </c>
      <c r="D284" s="30">
        <v>0</v>
      </c>
      <c r="E284" s="30">
        <f t="shared" ca="1" si="15"/>
        <v>121438.27794166675</v>
      </c>
      <c r="F284" s="30">
        <f t="shared" ca="1" si="15"/>
        <v>122364.50209545913</v>
      </c>
      <c r="G284" s="30">
        <f t="shared" ca="1" si="15"/>
        <v>123261.13853322758</v>
      </c>
      <c r="H284" s="30">
        <f t="shared" ca="1" si="15"/>
        <v>124126.1289790748</v>
      </c>
    </row>
    <row r="285" spans="2:8">
      <c r="B285" s="152">
        <f t="shared" si="13"/>
        <v>0</v>
      </c>
      <c r="D285" s="30">
        <v>0</v>
      </c>
      <c r="E285" s="30">
        <f t="shared" ca="1" si="15"/>
        <v>101088.40394999996</v>
      </c>
      <c r="F285" s="30">
        <f t="shared" ca="1" si="15"/>
        <v>101859.41720046606</v>
      </c>
      <c r="G285" s="30">
        <f t="shared" ca="1" si="15"/>
        <v>102605.80086098672</v>
      </c>
      <c r="H285" s="30">
        <f t="shared" ca="1" si="15"/>
        <v>103325.84156878313</v>
      </c>
    </row>
    <row r="286" spans="2:8">
      <c r="B286" s="152">
        <f t="shared" si="13"/>
        <v>0</v>
      </c>
      <c r="D286" s="30">
        <v>0</v>
      </c>
      <c r="E286" s="30">
        <f t="shared" ref="E286:H290" ca="1" si="16">D1121</f>
        <v>71180.05629218751</v>
      </c>
      <c r="F286" s="30">
        <f t="shared" ca="1" si="16"/>
        <v>72036.018994435333</v>
      </c>
      <c r="G286" s="30">
        <f t="shared" ca="1" si="16"/>
        <v>72890.292296612941</v>
      </c>
      <c r="H286" s="30">
        <f t="shared" ca="1" si="16"/>
        <v>73742.256752027897</v>
      </c>
    </row>
    <row r="287" spans="2:8">
      <c r="B287" s="152">
        <f t="shared" si="13"/>
        <v>0</v>
      </c>
      <c r="D287" s="30">
        <v>0</v>
      </c>
      <c r="E287" s="30">
        <f t="shared" ca="1" si="16"/>
        <v>136881.24061250003</v>
      </c>
      <c r="F287" s="30">
        <f t="shared" ca="1" si="16"/>
        <v>124714.01922472224</v>
      </c>
      <c r="G287" s="30">
        <f t="shared" ca="1" si="16"/>
        <v>111852.88599217276</v>
      </c>
      <c r="H287" s="30">
        <f t="shared" ca="1" si="16"/>
        <v>98270.749835980343</v>
      </c>
    </row>
    <row r="288" spans="2:8">
      <c r="B288" s="152">
        <f t="shared" si="13"/>
        <v>0</v>
      </c>
      <c r="D288" s="30">
        <v>0</v>
      </c>
      <c r="E288" s="30">
        <f t="shared" ca="1" si="16"/>
        <v>22575.962500000001</v>
      </c>
      <c r="F288" s="30">
        <f t="shared" ca="1" si="16"/>
        <v>17355.271171875</v>
      </c>
      <c r="G288" s="30">
        <f t="shared" ca="1" si="16"/>
        <v>11859.43530078125</v>
      </c>
      <c r="H288" s="30">
        <f t="shared" ca="1" si="16"/>
        <v>6077.9605916503906</v>
      </c>
    </row>
    <row r="289" spans="2:8">
      <c r="B289" s="152">
        <f t="shared" si="13"/>
        <v>0</v>
      </c>
      <c r="D289" s="30">
        <v>0</v>
      </c>
      <c r="E289" s="30">
        <f t="shared" ca="1" si="16"/>
        <v>0</v>
      </c>
      <c r="F289" s="30">
        <f t="shared" ca="1" si="16"/>
        <v>210341.66666666666</v>
      </c>
      <c r="G289" s="30">
        <f t="shared" ca="1" si="16"/>
        <v>200200.19345238095</v>
      </c>
      <c r="H289" s="30">
        <f t="shared" ca="1" si="16"/>
        <v>189420.18303571429</v>
      </c>
    </row>
    <row r="290" spans="2:8">
      <c r="B290" s="152">
        <f t="shared" si="13"/>
        <v>0</v>
      </c>
      <c r="D290" s="30">
        <v>0</v>
      </c>
      <c r="E290" s="30">
        <f t="shared" ca="1" si="16"/>
        <v>523253.02119999996</v>
      </c>
      <c r="F290" s="30">
        <f t="shared" ca="1" si="16"/>
        <v>402250.76004750002</v>
      </c>
      <c r="G290" s="30">
        <f t="shared" ca="1" si="16"/>
        <v>274871.35269912507</v>
      </c>
      <c r="H290" s="30">
        <f t="shared" ca="1" si="16"/>
        <v>140871.56825830159</v>
      </c>
    </row>
    <row r="291" spans="2:8">
      <c r="B291" s="152">
        <f t="shared" si="13"/>
        <v>0</v>
      </c>
      <c r="D291" s="30">
        <v>0</v>
      </c>
      <c r="E291" s="30">
        <f t="shared" ref="E291:E352" ca="1" si="17">D1126</f>
        <v>0</v>
      </c>
      <c r="F291" s="30">
        <f t="shared" ref="F291:F352" ca="1" si="18">E1126</f>
        <v>381745.00000000006</v>
      </c>
      <c r="G291" s="30">
        <f t="shared" ref="G291:G352" ca="1" si="19">F1126</f>
        <v>293466.46875000006</v>
      </c>
      <c r="H291" s="30">
        <f t="shared" ref="H291:H352" ca="1" si="20">G1126</f>
        <v>200535.42031250003</v>
      </c>
    </row>
    <row r="292" spans="2:8">
      <c r="B292" s="152">
        <f t="shared" si="13"/>
        <v>0</v>
      </c>
      <c r="D292" s="30">
        <v>0</v>
      </c>
      <c r="E292" s="30">
        <f t="shared" ca="1" si="17"/>
        <v>0</v>
      </c>
      <c r="F292" s="30">
        <f t="shared" ca="1" si="18"/>
        <v>0</v>
      </c>
      <c r="G292" s="30">
        <f t="shared" ca="1" si="19"/>
        <v>409500</v>
      </c>
      <c r="H292" s="30">
        <f t="shared" ca="1" si="20"/>
        <v>314803.125</v>
      </c>
    </row>
    <row r="293" spans="2:8">
      <c r="B293" s="152">
        <f t="shared" si="13"/>
        <v>0</v>
      </c>
      <c r="D293" s="30">
        <v>0</v>
      </c>
      <c r="E293" s="30">
        <f t="shared" ca="1" si="17"/>
        <v>0</v>
      </c>
      <c r="F293" s="30">
        <f t="shared" ca="1" si="18"/>
        <v>0</v>
      </c>
      <c r="G293" s="30">
        <f t="shared" ca="1" si="19"/>
        <v>0</v>
      </c>
      <c r="H293" s="30">
        <f t="shared" ca="1" si="20"/>
        <v>409500</v>
      </c>
    </row>
    <row r="294" spans="2:8">
      <c r="B294" s="152">
        <f t="shared" si="13"/>
        <v>0</v>
      </c>
      <c r="D294" s="30">
        <v>0</v>
      </c>
      <c r="E294" s="30">
        <f t="shared" ca="1" si="17"/>
        <v>0</v>
      </c>
      <c r="F294" s="30">
        <f t="shared" ca="1" si="18"/>
        <v>0</v>
      </c>
      <c r="G294" s="30">
        <f t="shared" ca="1" si="19"/>
        <v>0</v>
      </c>
      <c r="H294" s="30">
        <f t="shared" ca="1" si="20"/>
        <v>0</v>
      </c>
    </row>
    <row r="295" spans="2:8">
      <c r="B295" s="152">
        <f t="shared" si="13"/>
        <v>0</v>
      </c>
      <c r="D295" s="30">
        <v>0</v>
      </c>
      <c r="E295" s="30">
        <f t="shared" ca="1" si="17"/>
        <v>450461.55700000003</v>
      </c>
      <c r="F295" s="30">
        <f t="shared" ca="1" si="18"/>
        <v>346292.32194375002</v>
      </c>
      <c r="G295" s="30">
        <f t="shared" ca="1" si="19"/>
        <v>236633.0866615625</v>
      </c>
      <c r="H295" s="30">
        <f t="shared" ca="1" si="20"/>
        <v>121274.45691405078</v>
      </c>
    </row>
    <row r="296" spans="2:8">
      <c r="B296" s="152">
        <f t="shared" si="13"/>
        <v>0</v>
      </c>
      <c r="D296" s="30">
        <v>0</v>
      </c>
      <c r="E296" s="30">
        <f t="shared" ca="1" si="17"/>
        <v>0</v>
      </c>
      <c r="F296" s="30">
        <f t="shared" ca="1" si="18"/>
        <v>538831.5625</v>
      </c>
      <c r="G296" s="30">
        <f t="shared" ca="1" si="19"/>
        <v>538140.75280448713</v>
      </c>
      <c r="H296" s="30">
        <f t="shared" ca="1" si="20"/>
        <v>537078.63289763615</v>
      </c>
    </row>
    <row r="297" spans="2:8">
      <c r="B297" s="152">
        <f t="shared" si="13"/>
        <v>0</v>
      </c>
      <c r="D297" s="30">
        <v>0</v>
      </c>
      <c r="E297" s="30">
        <f t="shared" ca="1" si="17"/>
        <v>0</v>
      </c>
      <c r="F297" s="30">
        <f t="shared" ca="1" si="18"/>
        <v>38121.4033375</v>
      </c>
      <c r="G297" s="30">
        <f t="shared" ca="1" si="19"/>
        <v>38072.529743477564</v>
      </c>
      <c r="H297" s="30">
        <f t="shared" ca="1" si="20"/>
        <v>37997.386592668074</v>
      </c>
    </row>
    <row r="298" spans="2:8">
      <c r="B298" s="152">
        <f t="shared" si="13"/>
        <v>0</v>
      </c>
      <c r="D298" s="30">
        <v>0</v>
      </c>
      <c r="E298" s="30">
        <f t="shared" ca="1" si="17"/>
        <v>0</v>
      </c>
      <c r="F298" s="30">
        <f t="shared" ca="1" si="18"/>
        <v>426842.57</v>
      </c>
      <c r="G298" s="30">
        <f t="shared" ca="1" si="19"/>
        <v>426295.33593589743</v>
      </c>
      <c r="H298" s="30">
        <f t="shared" ca="1" si="20"/>
        <v>425453.96356233972</v>
      </c>
    </row>
    <row r="299" spans="2:8">
      <c r="B299" s="152">
        <f t="shared" si="13"/>
        <v>0</v>
      </c>
      <c r="D299" s="30">
        <v>0</v>
      </c>
      <c r="E299" s="30">
        <f t="shared" ca="1" si="17"/>
        <v>0</v>
      </c>
      <c r="F299" s="30">
        <f t="shared" ca="1" si="18"/>
        <v>1263291.098125</v>
      </c>
      <c r="G299" s="30">
        <f t="shared" ca="1" si="19"/>
        <v>1261671.4941530449</v>
      </c>
      <c r="H299" s="30">
        <f t="shared" ca="1" si="20"/>
        <v>1259181.3530461639</v>
      </c>
    </row>
    <row r="300" spans="2:8">
      <c r="B300" s="152">
        <f t="shared" si="13"/>
        <v>0</v>
      </c>
      <c r="D300" s="30">
        <v>0</v>
      </c>
      <c r="E300" s="30">
        <f t="shared" ca="1" si="17"/>
        <v>0</v>
      </c>
      <c r="F300" s="30">
        <f t="shared" ca="1" si="18"/>
        <v>519037.75</v>
      </c>
      <c r="G300" s="30">
        <f t="shared" ca="1" si="19"/>
        <v>518372.31698717945</v>
      </c>
      <c r="H300" s="30">
        <f t="shared" ca="1" si="20"/>
        <v>517349.21372996789</v>
      </c>
    </row>
    <row r="301" spans="2:8">
      <c r="B301" s="152">
        <f t="shared" si="13"/>
        <v>0</v>
      </c>
      <c r="D301" s="30">
        <v>0</v>
      </c>
      <c r="E301" s="30">
        <f t="shared" ca="1" si="17"/>
        <v>0</v>
      </c>
      <c r="F301" s="30">
        <f t="shared" ca="1" si="18"/>
        <v>324398.59375</v>
      </c>
      <c r="G301" s="30">
        <f t="shared" ca="1" si="19"/>
        <v>323982.69811698719</v>
      </c>
      <c r="H301" s="30">
        <f t="shared" ca="1" si="20"/>
        <v>323343.25858122995</v>
      </c>
    </row>
    <row r="302" spans="2:8">
      <c r="B302" s="152">
        <f t="shared" si="13"/>
        <v>0</v>
      </c>
      <c r="D302" s="30">
        <v>0</v>
      </c>
      <c r="E302" s="30">
        <f t="shared" ca="1" si="17"/>
        <v>62814.376699999986</v>
      </c>
      <c r="F302" s="30">
        <f t="shared" ca="1" si="18"/>
        <v>63569.739457784795</v>
      </c>
      <c r="G302" s="30">
        <f t="shared" ca="1" si="19"/>
        <v>64323.611368021346</v>
      </c>
      <c r="H302" s="30">
        <f t="shared" ca="1" si="20"/>
        <v>65075.445786608609</v>
      </c>
    </row>
    <row r="303" spans="2:8">
      <c r="B303" s="152">
        <f t="shared" si="13"/>
        <v>0</v>
      </c>
      <c r="D303" s="30">
        <v>0</v>
      </c>
      <c r="E303" s="30">
        <f t="shared" ca="1" si="17"/>
        <v>0</v>
      </c>
      <c r="F303" s="30">
        <f t="shared" ca="1" si="18"/>
        <v>254800</v>
      </c>
      <c r="G303" s="30">
        <f t="shared" ca="1" si="19"/>
        <v>195877.5</v>
      </c>
      <c r="H303" s="30">
        <f t="shared" ca="1" si="20"/>
        <v>133849.625</v>
      </c>
    </row>
    <row r="304" spans="2:8">
      <c r="B304" s="152">
        <f t="shared" si="13"/>
        <v>0</v>
      </c>
      <c r="D304" s="30">
        <v>0</v>
      </c>
      <c r="E304" s="30">
        <f t="shared" ca="1" si="17"/>
        <v>34265.5039875</v>
      </c>
      <c r="F304" s="30">
        <f t="shared" ca="1" si="18"/>
        <v>33273.607819440789</v>
      </c>
      <c r="G304" s="30">
        <f t="shared" ca="1" si="19"/>
        <v>32210.700902986428</v>
      </c>
      <c r="H304" s="30">
        <f t="shared" ca="1" si="20"/>
        <v>31073.852635822204</v>
      </c>
    </row>
    <row r="305" spans="2:8">
      <c r="B305" s="152">
        <f t="shared" si="13"/>
        <v>0</v>
      </c>
      <c r="D305" s="30">
        <v>0</v>
      </c>
      <c r="E305" s="30">
        <f t="shared" ca="1" si="17"/>
        <v>4965.8674703124998</v>
      </c>
      <c r="F305" s="30">
        <f t="shared" ca="1" si="18"/>
        <v>5025.5835981200553</v>
      </c>
      <c r="G305" s="30">
        <f t="shared" ca="1" si="19"/>
        <v>5085.181865149043</v>
      </c>
      <c r="H305" s="30">
        <f t="shared" ca="1" si="20"/>
        <v>5144.6190557806558</v>
      </c>
    </row>
    <row r="306" spans="2:8">
      <c r="B306" s="152">
        <f t="shared" si="13"/>
        <v>0</v>
      </c>
      <c r="D306" s="30">
        <v>0</v>
      </c>
      <c r="E306" s="30">
        <f t="shared" ca="1" si="17"/>
        <v>100892.65119062502</v>
      </c>
      <c r="F306" s="30">
        <f t="shared" ca="1" si="18"/>
        <v>100763.30163781653</v>
      </c>
      <c r="G306" s="30">
        <f t="shared" ca="1" si="19"/>
        <v>100564.42670037347</v>
      </c>
      <c r="H306" s="30">
        <f t="shared" ca="1" si="20"/>
        <v>100292.63095253462</v>
      </c>
    </row>
    <row r="307" spans="2:8">
      <c r="B307" s="152">
        <f t="shared" si="13"/>
        <v>0</v>
      </c>
      <c r="D307" s="30">
        <v>0</v>
      </c>
      <c r="E307" s="30">
        <f t="shared" ca="1" si="17"/>
        <v>8463.2683541666665</v>
      </c>
      <c r="F307" s="30">
        <f t="shared" ca="1" si="18"/>
        <v>8527.81870602048</v>
      </c>
      <c r="G307" s="30">
        <f t="shared" ca="1" si="19"/>
        <v>8590.3070327456298</v>
      </c>
      <c r="H307" s="30">
        <f t="shared" ca="1" si="20"/>
        <v>8650.589889115774</v>
      </c>
    </row>
    <row r="308" spans="2:8">
      <c r="B308" s="152">
        <f t="shared" si="13"/>
        <v>0</v>
      </c>
      <c r="D308" s="30">
        <v>0</v>
      </c>
      <c r="E308" s="30">
        <f t="shared" ca="1" si="17"/>
        <v>35150.38837500001</v>
      </c>
      <c r="F308" s="30">
        <f t="shared" ca="1" si="18"/>
        <v>35418.484557521195</v>
      </c>
      <c r="G308" s="30">
        <f t="shared" ca="1" si="19"/>
        <v>35678.016556434071</v>
      </c>
      <c r="H308" s="30">
        <f t="shared" ca="1" si="20"/>
        <v>35928.388602444138</v>
      </c>
    </row>
    <row r="309" spans="2:8">
      <c r="B309" s="152">
        <f t="shared" si="13"/>
        <v>0</v>
      </c>
      <c r="D309" s="30">
        <v>0</v>
      </c>
      <c r="E309" s="30">
        <f t="shared" ca="1" si="17"/>
        <v>0</v>
      </c>
      <c r="F309" s="30">
        <f t="shared" ca="1" si="18"/>
        <v>55217.708333333336</v>
      </c>
      <c r="G309" s="30">
        <f t="shared" ca="1" si="19"/>
        <v>55638.8603460452</v>
      </c>
      <c r="H309" s="30">
        <f t="shared" ca="1" si="20"/>
        <v>56046.558891684319</v>
      </c>
    </row>
    <row r="310" spans="2:8">
      <c r="B310" s="152">
        <f t="shared" si="13"/>
        <v>0</v>
      </c>
      <c r="D310" s="30">
        <v>0</v>
      </c>
      <c r="E310" s="30">
        <f t="shared" ca="1" si="17"/>
        <v>0</v>
      </c>
      <c r="F310" s="30">
        <f t="shared" ca="1" si="18"/>
        <v>0</v>
      </c>
      <c r="G310" s="30">
        <f t="shared" ca="1" si="19"/>
        <v>20079.166666666668</v>
      </c>
      <c r="H310" s="30">
        <f t="shared" ca="1" si="20"/>
        <v>20232.312853107345</v>
      </c>
    </row>
    <row r="311" spans="2:8">
      <c r="B311" s="152">
        <f t="shared" si="13"/>
        <v>0</v>
      </c>
      <c r="D311" s="30">
        <v>0</v>
      </c>
      <c r="E311" s="30">
        <f t="shared" ca="1" si="17"/>
        <v>0</v>
      </c>
      <c r="F311" s="30">
        <f t="shared" ca="1" si="18"/>
        <v>0</v>
      </c>
      <c r="G311" s="30">
        <f t="shared" ca="1" si="19"/>
        <v>0</v>
      </c>
      <c r="H311" s="30">
        <f t="shared" ca="1" si="20"/>
        <v>20079.166666666668</v>
      </c>
    </row>
    <row r="312" spans="2:8">
      <c r="B312" s="152">
        <f t="shared" si="13"/>
        <v>0</v>
      </c>
      <c r="D312" s="30">
        <v>0</v>
      </c>
      <c r="E312" s="30">
        <f t="shared" ca="1" si="17"/>
        <v>0</v>
      </c>
      <c r="F312" s="30">
        <f t="shared" ca="1" si="18"/>
        <v>0</v>
      </c>
      <c r="G312" s="30">
        <f t="shared" ca="1" si="19"/>
        <v>0</v>
      </c>
      <c r="H312" s="30">
        <f t="shared" ca="1" si="20"/>
        <v>0</v>
      </c>
    </row>
    <row r="313" spans="2:8">
      <c r="B313" s="152">
        <f t="shared" si="13"/>
        <v>0</v>
      </c>
      <c r="D313" s="30">
        <v>0</v>
      </c>
      <c r="E313" s="30">
        <f t="shared" ca="1" si="17"/>
        <v>34416.91135312499</v>
      </c>
      <c r="F313" s="30">
        <f t="shared" ca="1" si="18"/>
        <v>34372.787107800468</v>
      </c>
      <c r="G313" s="30">
        <f t="shared" ca="1" si="19"/>
        <v>34304.94608061402</v>
      </c>
      <c r="H313" s="30">
        <f t="shared" ca="1" si="20"/>
        <v>34212.230010125873</v>
      </c>
    </row>
    <row r="314" spans="2:8">
      <c r="B314" s="152">
        <f t="shared" si="13"/>
        <v>0</v>
      </c>
      <c r="D314" s="30">
        <v>0</v>
      </c>
      <c r="E314" s="30">
        <f t="shared" ca="1" si="17"/>
        <v>1147342.5681854167</v>
      </c>
      <c r="F314" s="30">
        <f t="shared" ca="1" si="18"/>
        <v>1156093.4860783564</v>
      </c>
      <c r="G314" s="30">
        <f t="shared" ca="1" si="19"/>
        <v>1164564.8607608271</v>
      </c>
      <c r="H314" s="30">
        <f t="shared" ca="1" si="20"/>
        <v>1172737.2457486223</v>
      </c>
    </row>
    <row r="315" spans="2:8">
      <c r="B315" s="152">
        <f t="shared" si="13"/>
        <v>0</v>
      </c>
      <c r="D315" s="30">
        <v>0</v>
      </c>
      <c r="E315" s="30">
        <f t="shared" ca="1" si="17"/>
        <v>0</v>
      </c>
      <c r="F315" s="30">
        <f t="shared" ca="1" si="18"/>
        <v>20537.975624999999</v>
      </c>
      <c r="G315" s="30">
        <f t="shared" ca="1" si="19"/>
        <v>20694.621201800845</v>
      </c>
      <c r="H315" s="30">
        <f t="shared" ca="1" si="20"/>
        <v>20846.262822676112</v>
      </c>
    </row>
    <row r="316" spans="2:8">
      <c r="B316" s="152">
        <f t="shared" si="13"/>
        <v>0</v>
      </c>
      <c r="D316" s="30">
        <v>0</v>
      </c>
      <c r="E316" s="30">
        <f t="shared" ca="1" si="17"/>
        <v>118060.0931</v>
      </c>
      <c r="F316" s="30">
        <f t="shared" ca="1" si="18"/>
        <v>114642.56408921053</v>
      </c>
      <c r="G316" s="30">
        <f t="shared" ca="1" si="19"/>
        <v>110980.37106969408</v>
      </c>
      <c r="H316" s="30">
        <f t="shared" ca="1" si="20"/>
        <v>107063.41679664605</v>
      </c>
    </row>
    <row r="317" spans="2:8">
      <c r="B317" s="152">
        <f t="shared" ref="B317:B352" si="21">B151</f>
        <v>0</v>
      </c>
      <c r="D317" s="30">
        <v>0</v>
      </c>
      <c r="E317" s="30">
        <f t="shared" ca="1" si="17"/>
        <v>0</v>
      </c>
      <c r="F317" s="30">
        <f t="shared" ca="1" si="18"/>
        <v>39342.758750000001</v>
      </c>
      <c r="G317" s="30">
        <f t="shared" ca="1" si="19"/>
        <v>38203.889417763159</v>
      </c>
      <c r="H317" s="30">
        <f t="shared" ca="1" si="20"/>
        <v>36983.48739469573</v>
      </c>
    </row>
    <row r="318" spans="2:8">
      <c r="B318" s="152">
        <f t="shared" si="21"/>
        <v>0</v>
      </c>
      <c r="D318" s="30">
        <v>0</v>
      </c>
      <c r="E318" s="30">
        <f t="shared" ca="1" si="17"/>
        <v>0</v>
      </c>
      <c r="F318" s="30">
        <f t="shared" ca="1" si="18"/>
        <v>0</v>
      </c>
      <c r="G318" s="30">
        <f t="shared" ca="1" si="19"/>
        <v>0</v>
      </c>
      <c r="H318" s="30">
        <f t="shared" ca="1" si="20"/>
        <v>0</v>
      </c>
    </row>
    <row r="319" spans="2:8">
      <c r="B319" s="152">
        <f t="shared" si="21"/>
        <v>0</v>
      </c>
      <c r="D319" s="30">
        <v>0</v>
      </c>
      <c r="E319" s="30">
        <f t="shared" ca="1" si="17"/>
        <v>122099.81656875</v>
      </c>
      <c r="F319" s="30">
        <f t="shared" ca="1" si="18"/>
        <v>118565.34819439145</v>
      </c>
      <c r="G319" s="30">
        <f t="shared" ca="1" si="19"/>
        <v>114777.8440159595</v>
      </c>
      <c r="H319" s="30">
        <f t="shared" ca="1" si="20"/>
        <v>110726.86128598446</v>
      </c>
    </row>
    <row r="320" spans="2:8">
      <c r="B320" s="152">
        <f t="shared" si="21"/>
        <v>0</v>
      </c>
      <c r="D320" s="30">
        <v>0</v>
      </c>
      <c r="E320" s="30">
        <f t="shared" ca="1" si="17"/>
        <v>0</v>
      </c>
      <c r="F320" s="30">
        <f t="shared" ca="1" si="18"/>
        <v>932214.30303750001</v>
      </c>
      <c r="G320" s="30">
        <f t="shared" ca="1" si="19"/>
        <v>905229.15216009878</v>
      </c>
      <c r="H320" s="30">
        <f t="shared" ca="1" si="20"/>
        <v>876312.10979942896</v>
      </c>
    </row>
    <row r="321" spans="2:8">
      <c r="B321" s="152">
        <f t="shared" si="21"/>
        <v>0</v>
      </c>
      <c r="D321" s="30">
        <v>0</v>
      </c>
      <c r="E321" s="30">
        <f t="shared" ca="1" si="17"/>
        <v>0</v>
      </c>
      <c r="F321" s="30">
        <f t="shared" ca="1" si="18"/>
        <v>0</v>
      </c>
      <c r="G321" s="30">
        <f t="shared" ca="1" si="19"/>
        <v>37200.253125000003</v>
      </c>
      <c r="H321" s="30">
        <f t="shared" ca="1" si="20"/>
        <v>36123.403692434207</v>
      </c>
    </row>
    <row r="322" spans="2:8">
      <c r="B322" s="152">
        <f t="shared" si="21"/>
        <v>0</v>
      </c>
      <c r="D322" s="30">
        <v>0</v>
      </c>
      <c r="E322" s="30">
        <f t="shared" ca="1" si="17"/>
        <v>40728.858223437499</v>
      </c>
      <c r="F322" s="30">
        <f t="shared" ca="1" si="18"/>
        <v>41218.635632453523</v>
      </c>
      <c r="G322" s="30">
        <f t="shared" ca="1" si="19"/>
        <v>41707.446375530701</v>
      </c>
      <c r="H322" s="30">
        <f t="shared" ca="1" si="20"/>
        <v>42194.936008491444</v>
      </c>
    </row>
    <row r="323" spans="2:8">
      <c r="B323" s="152">
        <f t="shared" si="21"/>
        <v>0</v>
      </c>
      <c r="D323" s="30">
        <v>0</v>
      </c>
      <c r="E323" s="30">
        <f t="shared" ca="1" si="17"/>
        <v>101565.11894375</v>
      </c>
      <c r="F323" s="30">
        <f t="shared" ca="1" si="18"/>
        <v>98625.076026957249</v>
      </c>
      <c r="G323" s="30">
        <f t="shared" ca="1" si="19"/>
        <v>95474.552764984997</v>
      </c>
      <c r="H323" s="30">
        <f t="shared" ca="1" si="20"/>
        <v>92104.86266739729</v>
      </c>
    </row>
    <row r="324" spans="2:8">
      <c r="B324" s="152">
        <f t="shared" si="21"/>
        <v>0</v>
      </c>
      <c r="D324" s="30">
        <v>0</v>
      </c>
      <c r="E324" s="30">
        <f t="shared" ca="1" si="17"/>
        <v>805762.88283749949</v>
      </c>
      <c r="F324" s="30">
        <f t="shared" ca="1" si="18"/>
        <v>811908.53194388724</v>
      </c>
      <c r="G324" s="30">
        <f t="shared" ca="1" si="19"/>
        <v>817857.86170382088</v>
      </c>
      <c r="H324" s="30">
        <f t="shared" ca="1" si="20"/>
        <v>823597.21511928632</v>
      </c>
    </row>
    <row r="325" spans="2:8">
      <c r="B325" s="152">
        <f t="shared" si="21"/>
        <v>0</v>
      </c>
      <c r="D325" s="30">
        <v>0</v>
      </c>
      <c r="E325" s="30">
        <f t="shared" ca="1" si="17"/>
        <v>0</v>
      </c>
      <c r="F325" s="30">
        <f t="shared" ca="1" si="18"/>
        <v>1211366.7480291666</v>
      </c>
      <c r="G325" s="30">
        <f t="shared" ca="1" si="19"/>
        <v>1220605.9859378638</v>
      </c>
      <c r="H325" s="30">
        <f t="shared" ca="1" si="20"/>
        <v>1229550.0815244776</v>
      </c>
    </row>
    <row r="326" spans="2:8">
      <c r="B326" s="152">
        <f t="shared" si="21"/>
        <v>0</v>
      </c>
      <c r="D326" s="30">
        <v>0</v>
      </c>
      <c r="E326" s="30">
        <f t="shared" ca="1" si="17"/>
        <v>0</v>
      </c>
      <c r="F326" s="30">
        <f t="shared" ca="1" si="18"/>
        <v>0</v>
      </c>
      <c r="G326" s="30">
        <f t="shared" ca="1" si="19"/>
        <v>620359.9095833333</v>
      </c>
      <c r="H326" s="30">
        <f t="shared" ca="1" si="20"/>
        <v>625091.46821574855</v>
      </c>
    </row>
    <row r="327" spans="2:8">
      <c r="B327" s="152">
        <f t="shared" si="21"/>
        <v>0</v>
      </c>
      <c r="D327" s="30">
        <v>0</v>
      </c>
      <c r="E327" s="30">
        <f t="shared" ca="1" si="17"/>
        <v>10547.244904166666</v>
      </c>
      <c r="F327" s="30">
        <f t="shared" ca="1" si="18"/>
        <v>10627.689992418784</v>
      </c>
      <c r="G327" s="30">
        <f t="shared" ca="1" si="19"/>
        <v>10705.565307018405</v>
      </c>
      <c r="H327" s="30">
        <f t="shared" ca="1" si="20"/>
        <v>10780.692081102745</v>
      </c>
    </row>
    <row r="328" spans="2:8">
      <c r="B328" s="152">
        <f t="shared" si="21"/>
        <v>0</v>
      </c>
      <c r="D328" s="30">
        <v>0</v>
      </c>
      <c r="E328" s="30">
        <f t="shared" ca="1" si="17"/>
        <v>0</v>
      </c>
      <c r="F328" s="30">
        <f t="shared" ca="1" si="18"/>
        <v>226313.29145833335</v>
      </c>
      <c r="G328" s="30">
        <f t="shared" ca="1" si="19"/>
        <v>228039.40978301555</v>
      </c>
      <c r="H328" s="30">
        <f t="shared" ca="1" si="20"/>
        <v>229710.3882167704</v>
      </c>
    </row>
    <row r="329" spans="2:8">
      <c r="B329" s="152">
        <f t="shared" si="21"/>
        <v>0</v>
      </c>
      <c r="D329" s="30">
        <v>0</v>
      </c>
      <c r="E329" s="30">
        <f t="shared" ca="1" si="17"/>
        <v>0</v>
      </c>
      <c r="F329" s="30">
        <f t="shared" ca="1" si="18"/>
        <v>570730.93660781253</v>
      </c>
      <c r="G329" s="30">
        <f t="shared" ca="1" si="19"/>
        <v>577594.15673157736</v>
      </c>
      <c r="H329" s="30">
        <f t="shared" ca="1" si="20"/>
        <v>584443.8310261505</v>
      </c>
    </row>
    <row r="330" spans="2:8">
      <c r="B330" s="152">
        <f t="shared" si="21"/>
        <v>0</v>
      </c>
      <c r="D330" s="30">
        <v>0</v>
      </c>
      <c r="E330" s="30">
        <f t="shared" ca="1" si="17"/>
        <v>0</v>
      </c>
      <c r="F330" s="30">
        <f t="shared" ca="1" si="18"/>
        <v>0</v>
      </c>
      <c r="G330" s="30">
        <f t="shared" ca="1" si="19"/>
        <v>5348228.3695312496</v>
      </c>
      <c r="H330" s="30">
        <f t="shared" ca="1" si="20"/>
        <v>5412542.5081521953</v>
      </c>
    </row>
    <row r="331" spans="2:8">
      <c r="B331" s="152">
        <f t="shared" si="21"/>
        <v>0</v>
      </c>
      <c r="D331" s="30">
        <v>0</v>
      </c>
      <c r="E331" s="30">
        <f t="shared" ca="1" si="17"/>
        <v>0</v>
      </c>
      <c r="F331" s="30">
        <f t="shared" ca="1" si="18"/>
        <v>0</v>
      </c>
      <c r="G331" s="30">
        <f t="shared" ca="1" si="19"/>
        <v>0</v>
      </c>
      <c r="H331" s="30">
        <f t="shared" ca="1" si="20"/>
        <v>12883759.88671875</v>
      </c>
    </row>
    <row r="332" spans="2:8">
      <c r="B332" s="152">
        <f t="shared" si="21"/>
        <v>0</v>
      </c>
      <c r="D332" s="30">
        <v>0</v>
      </c>
      <c r="E332" s="30">
        <f t="shared" ca="1" si="17"/>
        <v>0</v>
      </c>
      <c r="F332" s="30">
        <f t="shared" ca="1" si="18"/>
        <v>64884.375</v>
      </c>
      <c r="G332" s="30">
        <f t="shared" ca="1" si="19"/>
        <v>59116.875</v>
      </c>
      <c r="H332" s="30">
        <f t="shared" ca="1" si="20"/>
        <v>53020.447265625</v>
      </c>
    </row>
    <row r="333" spans="2:8">
      <c r="B333" s="152">
        <f t="shared" si="21"/>
        <v>0</v>
      </c>
      <c r="D333" s="30">
        <v>0</v>
      </c>
      <c r="E333" s="30">
        <f t="shared" ca="1" si="17"/>
        <v>0</v>
      </c>
      <c r="F333" s="30">
        <f t="shared" ca="1" si="18"/>
        <v>758095.52109375002</v>
      </c>
      <c r="G333" s="30">
        <f t="shared" ca="1" si="19"/>
        <v>757123.60375901451</v>
      </c>
      <c r="H333" s="30">
        <f t="shared" ca="1" si="20"/>
        <v>755629.28085685859</v>
      </c>
    </row>
    <row r="334" spans="2:8">
      <c r="B334" s="152" t="str">
        <f t="shared" si="21"/>
        <v>Carndo Year 4 Reduction</v>
      </c>
      <c r="D334" s="30">
        <v>0</v>
      </c>
      <c r="E334" s="30">
        <f t="shared" ca="1" si="17"/>
        <v>0</v>
      </c>
      <c r="F334" s="30">
        <f t="shared" ca="1" si="18"/>
        <v>0</v>
      </c>
      <c r="G334" s="30">
        <f t="shared" ca="1" si="19"/>
        <v>0</v>
      </c>
      <c r="H334" s="30">
        <f t="shared" ca="1" si="20"/>
        <v>-7891985.548009593</v>
      </c>
    </row>
    <row r="335" spans="2:8">
      <c r="B335" s="152" t="str">
        <f t="shared" si="21"/>
        <v>Carndo Year 5 Reduction</v>
      </c>
      <c r="D335" s="30">
        <v>0</v>
      </c>
      <c r="E335" s="30">
        <f t="shared" ca="1" si="17"/>
        <v>0</v>
      </c>
      <c r="F335" s="30">
        <f t="shared" ca="1" si="18"/>
        <v>0</v>
      </c>
      <c r="G335" s="30">
        <f t="shared" ca="1" si="19"/>
        <v>0</v>
      </c>
      <c r="H335" s="30">
        <f t="shared" ca="1" si="20"/>
        <v>0</v>
      </c>
    </row>
    <row r="336" spans="2:8">
      <c r="B336" s="152">
        <f t="shared" si="21"/>
        <v>0</v>
      </c>
      <c r="D336" s="30">
        <v>0</v>
      </c>
      <c r="E336" s="30">
        <f t="shared" ca="1" si="17"/>
        <v>0</v>
      </c>
      <c r="F336" s="30">
        <f t="shared" ca="1" si="18"/>
        <v>0</v>
      </c>
      <c r="G336" s="30">
        <f t="shared" ca="1" si="19"/>
        <v>0</v>
      </c>
      <c r="H336" s="30">
        <f t="shared" ca="1" si="20"/>
        <v>0</v>
      </c>
    </row>
    <row r="337" spans="2:8">
      <c r="B337" s="152">
        <f t="shared" si="21"/>
        <v>0</v>
      </c>
      <c r="D337" s="30">
        <v>0</v>
      </c>
      <c r="E337" s="30">
        <f t="shared" ca="1" si="17"/>
        <v>0</v>
      </c>
      <c r="F337" s="30">
        <f t="shared" ca="1" si="18"/>
        <v>0</v>
      </c>
      <c r="G337" s="30">
        <f t="shared" ca="1" si="19"/>
        <v>0</v>
      </c>
      <c r="H337" s="30">
        <f t="shared" ca="1" si="20"/>
        <v>0</v>
      </c>
    </row>
    <row r="338" spans="2:8">
      <c r="B338" s="152">
        <f t="shared" si="21"/>
        <v>0</v>
      </c>
      <c r="D338" s="30">
        <v>0</v>
      </c>
      <c r="E338" s="30">
        <f t="shared" ca="1" si="17"/>
        <v>0</v>
      </c>
      <c r="F338" s="30">
        <f t="shared" ca="1" si="18"/>
        <v>0</v>
      </c>
      <c r="G338" s="30">
        <f t="shared" ca="1" si="19"/>
        <v>0</v>
      </c>
      <c r="H338" s="30">
        <f t="shared" ca="1" si="20"/>
        <v>0</v>
      </c>
    </row>
    <row r="339" spans="2:8">
      <c r="B339" s="152">
        <f t="shared" si="21"/>
        <v>0</v>
      </c>
      <c r="D339" s="30">
        <v>0</v>
      </c>
      <c r="E339" s="30">
        <f t="shared" ca="1" si="17"/>
        <v>0</v>
      </c>
      <c r="F339" s="30">
        <f t="shared" ca="1" si="18"/>
        <v>0</v>
      </c>
      <c r="G339" s="30">
        <f t="shared" ca="1" si="19"/>
        <v>0</v>
      </c>
      <c r="H339" s="30">
        <f t="shared" ca="1" si="20"/>
        <v>0</v>
      </c>
    </row>
    <row r="340" spans="2:8">
      <c r="B340" s="152">
        <f t="shared" si="21"/>
        <v>0</v>
      </c>
      <c r="D340" s="30">
        <v>0</v>
      </c>
      <c r="E340" s="30">
        <f t="shared" ca="1" si="17"/>
        <v>0</v>
      </c>
      <c r="F340" s="30">
        <f t="shared" ca="1" si="18"/>
        <v>0</v>
      </c>
      <c r="G340" s="30">
        <f t="shared" ca="1" si="19"/>
        <v>0</v>
      </c>
      <c r="H340" s="30">
        <f t="shared" ca="1" si="20"/>
        <v>0</v>
      </c>
    </row>
    <row r="341" spans="2:8">
      <c r="B341" s="152">
        <f t="shared" si="21"/>
        <v>0</v>
      </c>
      <c r="D341" s="30">
        <v>0</v>
      </c>
      <c r="E341" s="30">
        <f t="shared" ca="1" si="17"/>
        <v>0</v>
      </c>
      <c r="F341" s="30">
        <f t="shared" ca="1" si="18"/>
        <v>0</v>
      </c>
      <c r="G341" s="30">
        <f t="shared" ca="1" si="19"/>
        <v>0</v>
      </c>
      <c r="H341" s="30">
        <f t="shared" ca="1" si="20"/>
        <v>0</v>
      </c>
    </row>
    <row r="342" spans="2:8">
      <c r="B342" s="152">
        <f t="shared" si="21"/>
        <v>0</v>
      </c>
      <c r="D342" s="30">
        <v>0</v>
      </c>
      <c r="E342" s="30">
        <f t="shared" ca="1" si="17"/>
        <v>0</v>
      </c>
      <c r="F342" s="30">
        <f t="shared" ca="1" si="18"/>
        <v>0</v>
      </c>
      <c r="G342" s="30">
        <f t="shared" ca="1" si="19"/>
        <v>0</v>
      </c>
      <c r="H342" s="30">
        <f t="shared" ca="1" si="20"/>
        <v>0</v>
      </c>
    </row>
    <row r="343" spans="2:8">
      <c r="B343" s="152">
        <f t="shared" si="21"/>
        <v>0</v>
      </c>
      <c r="D343" s="30">
        <v>0</v>
      </c>
      <c r="E343" s="30">
        <f t="shared" ca="1" si="17"/>
        <v>0</v>
      </c>
      <c r="F343" s="30">
        <f t="shared" ca="1" si="18"/>
        <v>0</v>
      </c>
      <c r="G343" s="30">
        <f t="shared" ca="1" si="19"/>
        <v>0</v>
      </c>
      <c r="H343" s="30">
        <f t="shared" ca="1" si="20"/>
        <v>0</v>
      </c>
    </row>
    <row r="344" spans="2:8">
      <c r="B344" s="152">
        <f t="shared" si="21"/>
        <v>0</v>
      </c>
      <c r="D344" s="30">
        <v>0</v>
      </c>
      <c r="E344" s="30">
        <f t="shared" ca="1" si="17"/>
        <v>0</v>
      </c>
      <c r="F344" s="30">
        <f t="shared" ca="1" si="18"/>
        <v>0</v>
      </c>
      <c r="G344" s="30">
        <f t="shared" ca="1" si="19"/>
        <v>0</v>
      </c>
      <c r="H344" s="30">
        <f t="shared" ca="1" si="20"/>
        <v>0</v>
      </c>
    </row>
    <row r="345" spans="2:8">
      <c r="B345" s="152">
        <f t="shared" si="21"/>
        <v>0</v>
      </c>
      <c r="D345" s="30">
        <v>0</v>
      </c>
      <c r="E345" s="30">
        <f t="shared" ca="1" si="17"/>
        <v>0</v>
      </c>
      <c r="F345" s="30">
        <f t="shared" ca="1" si="18"/>
        <v>0</v>
      </c>
      <c r="G345" s="30">
        <f t="shared" ca="1" si="19"/>
        <v>0</v>
      </c>
      <c r="H345" s="30">
        <f t="shared" ca="1" si="20"/>
        <v>0</v>
      </c>
    </row>
    <row r="346" spans="2:8">
      <c r="B346" s="152">
        <f t="shared" si="21"/>
        <v>0</v>
      </c>
      <c r="D346" s="30">
        <v>0</v>
      </c>
      <c r="E346" s="30">
        <f t="shared" ca="1" si="17"/>
        <v>0</v>
      </c>
      <c r="F346" s="30">
        <f t="shared" ca="1" si="18"/>
        <v>0</v>
      </c>
      <c r="G346" s="30">
        <f t="shared" ca="1" si="19"/>
        <v>0</v>
      </c>
      <c r="H346" s="30">
        <f t="shared" ca="1" si="20"/>
        <v>0</v>
      </c>
    </row>
    <row r="347" spans="2:8">
      <c r="B347" s="152">
        <f t="shared" si="21"/>
        <v>0</v>
      </c>
      <c r="D347" s="30">
        <v>0</v>
      </c>
      <c r="E347" s="30">
        <f t="shared" ca="1" si="17"/>
        <v>0</v>
      </c>
      <c r="F347" s="30">
        <f t="shared" ca="1" si="18"/>
        <v>0</v>
      </c>
      <c r="G347" s="30">
        <f t="shared" ca="1" si="19"/>
        <v>0</v>
      </c>
      <c r="H347" s="30">
        <f t="shared" ca="1" si="20"/>
        <v>0</v>
      </c>
    </row>
    <row r="348" spans="2:8">
      <c r="B348" s="152">
        <f t="shared" si="21"/>
        <v>0</v>
      </c>
      <c r="D348" s="30">
        <v>0</v>
      </c>
      <c r="E348" s="30">
        <f t="shared" ca="1" si="17"/>
        <v>0</v>
      </c>
      <c r="F348" s="30">
        <f t="shared" ca="1" si="18"/>
        <v>0</v>
      </c>
      <c r="G348" s="30">
        <f t="shared" ca="1" si="19"/>
        <v>0</v>
      </c>
      <c r="H348" s="30">
        <f t="shared" ca="1" si="20"/>
        <v>0</v>
      </c>
    </row>
    <row r="349" spans="2:8">
      <c r="B349" s="152">
        <f t="shared" si="21"/>
        <v>0</v>
      </c>
      <c r="D349" s="30">
        <v>0</v>
      </c>
      <c r="E349" s="30">
        <f t="shared" ca="1" si="17"/>
        <v>0</v>
      </c>
      <c r="F349" s="30">
        <f t="shared" ca="1" si="18"/>
        <v>0</v>
      </c>
      <c r="G349" s="30">
        <f t="shared" ca="1" si="19"/>
        <v>0</v>
      </c>
      <c r="H349" s="30">
        <f t="shared" ca="1" si="20"/>
        <v>0</v>
      </c>
    </row>
    <row r="350" spans="2:8">
      <c r="B350" s="152">
        <f t="shared" si="21"/>
        <v>0</v>
      </c>
      <c r="D350" s="30">
        <v>0</v>
      </c>
      <c r="E350" s="30">
        <f t="shared" ca="1" si="17"/>
        <v>0</v>
      </c>
      <c r="F350" s="30">
        <f t="shared" ca="1" si="18"/>
        <v>0</v>
      </c>
      <c r="G350" s="30">
        <f t="shared" ca="1" si="19"/>
        <v>0</v>
      </c>
      <c r="H350" s="30">
        <f t="shared" ca="1" si="20"/>
        <v>0</v>
      </c>
    </row>
    <row r="351" spans="2:8">
      <c r="B351" s="152">
        <f t="shared" si="21"/>
        <v>0</v>
      </c>
      <c r="D351" s="30">
        <v>0</v>
      </c>
      <c r="E351" s="30">
        <f t="shared" ca="1" si="17"/>
        <v>0</v>
      </c>
      <c r="F351" s="30">
        <f t="shared" ca="1" si="18"/>
        <v>0</v>
      </c>
      <c r="G351" s="30">
        <f t="shared" ca="1" si="19"/>
        <v>0</v>
      </c>
      <c r="H351" s="30">
        <f t="shared" ca="1" si="20"/>
        <v>0</v>
      </c>
    </row>
    <row r="352" spans="2:8">
      <c r="B352" s="152">
        <f t="shared" si="21"/>
        <v>0</v>
      </c>
      <c r="D352" s="30">
        <v>0</v>
      </c>
      <c r="E352" s="30">
        <f t="shared" ca="1" si="17"/>
        <v>0</v>
      </c>
      <c r="F352" s="30">
        <f t="shared" ca="1" si="18"/>
        <v>0</v>
      </c>
      <c r="G352" s="30">
        <f t="shared" ca="1" si="19"/>
        <v>0</v>
      </c>
      <c r="H352" s="30">
        <f t="shared" ca="1" si="20"/>
        <v>0</v>
      </c>
    </row>
    <row r="353" spans="2:8">
      <c r="B353" s="152" t="s">
        <v>51</v>
      </c>
      <c r="D353" s="48">
        <f>SUM(D189:D352)</f>
        <v>0</v>
      </c>
      <c r="E353" s="48">
        <f ca="1">SUM(E189:E352)</f>
        <v>18001020.536732819</v>
      </c>
      <c r="F353" s="48">
        <f ca="1">SUM(F189:F352)</f>
        <v>54744218.124417491</v>
      </c>
      <c r="G353" s="48">
        <f ca="1">SUM(G189:G352)</f>
        <v>119409971.46726504</v>
      </c>
      <c r="H353" s="48">
        <f ca="1">SUM(H189:H352)</f>
        <v>227770231.10790551</v>
      </c>
    </row>
    <row r="354" spans="2:8">
      <c r="B354" s="152"/>
      <c r="D354" s="30"/>
      <c r="E354" s="30"/>
      <c r="F354" s="30"/>
      <c r="G354" s="30"/>
      <c r="H354" s="30"/>
    </row>
    <row r="355" spans="2:8" ht="15.75">
      <c r="B355" s="151" t="s">
        <v>27</v>
      </c>
      <c r="D355" s="30"/>
      <c r="E355" s="30"/>
      <c r="F355" s="30"/>
      <c r="G355" s="30"/>
      <c r="H355" s="30"/>
    </row>
    <row r="356" spans="2:8">
      <c r="B356" s="152">
        <f>B189</f>
        <v>0</v>
      </c>
      <c r="D356" s="127">
        <v>0</v>
      </c>
      <c r="E356" s="127">
        <v>0</v>
      </c>
      <c r="F356" s="127">
        <v>0</v>
      </c>
      <c r="G356" s="127">
        <v>0</v>
      </c>
      <c r="H356" s="127">
        <v>0</v>
      </c>
    </row>
    <row r="357" spans="2:8">
      <c r="B357" s="152">
        <f t="shared" ref="B357:B420" si="22">B190</f>
        <v>0</v>
      </c>
      <c r="D357" s="127">
        <v>0</v>
      </c>
      <c r="E357" s="127">
        <v>0</v>
      </c>
      <c r="F357" s="127">
        <v>0</v>
      </c>
      <c r="G357" s="127">
        <v>0</v>
      </c>
      <c r="H357" s="127">
        <v>0</v>
      </c>
    </row>
    <row r="358" spans="2:8">
      <c r="B358" s="152">
        <f t="shared" si="22"/>
        <v>0</v>
      </c>
      <c r="D358" s="127">
        <v>0</v>
      </c>
      <c r="E358" s="127">
        <v>0</v>
      </c>
      <c r="F358" s="127">
        <v>0</v>
      </c>
      <c r="G358" s="127">
        <v>0</v>
      </c>
      <c r="H358" s="127">
        <v>0</v>
      </c>
    </row>
    <row r="359" spans="2:8">
      <c r="B359" s="152">
        <f t="shared" si="22"/>
        <v>0</v>
      </c>
      <c r="D359" s="127">
        <v>0</v>
      </c>
      <c r="E359" s="127">
        <v>0</v>
      </c>
      <c r="F359" s="127">
        <v>0</v>
      </c>
      <c r="G359" s="127">
        <v>0</v>
      </c>
      <c r="H359" s="127">
        <v>0</v>
      </c>
    </row>
    <row r="360" spans="2:8">
      <c r="B360" s="152">
        <f t="shared" si="22"/>
        <v>0</v>
      </c>
      <c r="D360" s="127">
        <v>0</v>
      </c>
      <c r="E360" s="127">
        <v>0</v>
      </c>
      <c r="F360" s="127">
        <v>0</v>
      </c>
      <c r="G360" s="127">
        <v>0</v>
      </c>
      <c r="H360" s="127">
        <v>0</v>
      </c>
    </row>
    <row r="361" spans="2:8">
      <c r="B361" s="152">
        <f t="shared" si="22"/>
        <v>0</v>
      </c>
      <c r="D361" s="127">
        <v>0</v>
      </c>
      <c r="E361" s="127">
        <v>0</v>
      </c>
      <c r="F361" s="127">
        <v>0</v>
      </c>
      <c r="G361" s="127">
        <v>0</v>
      </c>
      <c r="H361" s="127">
        <v>0</v>
      </c>
    </row>
    <row r="362" spans="2:8">
      <c r="B362" s="152">
        <f t="shared" si="22"/>
        <v>0</v>
      </c>
      <c r="D362" s="127">
        <v>0</v>
      </c>
      <c r="E362" s="127">
        <v>0</v>
      </c>
      <c r="F362" s="127">
        <v>0</v>
      </c>
      <c r="G362" s="127">
        <v>0</v>
      </c>
      <c r="H362" s="127">
        <v>0</v>
      </c>
    </row>
    <row r="363" spans="2:8">
      <c r="B363" s="152">
        <f t="shared" si="22"/>
        <v>0</v>
      </c>
      <c r="D363" s="127">
        <v>0</v>
      </c>
      <c r="E363" s="127">
        <v>0</v>
      </c>
      <c r="F363" s="127">
        <v>0</v>
      </c>
      <c r="G363" s="127">
        <v>0</v>
      </c>
      <c r="H363" s="127">
        <v>0</v>
      </c>
    </row>
    <row r="364" spans="2:8">
      <c r="B364" s="152">
        <f t="shared" si="22"/>
        <v>0</v>
      </c>
      <c r="D364" s="127">
        <v>0</v>
      </c>
      <c r="E364" s="127">
        <v>0</v>
      </c>
      <c r="F364" s="127">
        <v>0</v>
      </c>
      <c r="G364" s="127">
        <v>0</v>
      </c>
      <c r="H364" s="127">
        <v>0</v>
      </c>
    </row>
    <row r="365" spans="2:8">
      <c r="B365" s="152">
        <f t="shared" si="22"/>
        <v>0</v>
      </c>
      <c r="D365" s="127">
        <v>0</v>
      </c>
      <c r="E365" s="127">
        <v>0</v>
      </c>
      <c r="F365" s="127">
        <v>0</v>
      </c>
      <c r="G365" s="127">
        <v>0</v>
      </c>
      <c r="H365" s="127">
        <v>0</v>
      </c>
    </row>
    <row r="366" spans="2:8">
      <c r="B366" s="152">
        <f t="shared" si="22"/>
        <v>0</v>
      </c>
      <c r="D366" s="127">
        <v>0</v>
      </c>
      <c r="E366" s="127">
        <v>0</v>
      </c>
      <c r="F366" s="127">
        <v>0</v>
      </c>
      <c r="G366" s="127">
        <v>0</v>
      </c>
      <c r="H366" s="127">
        <v>0</v>
      </c>
    </row>
    <row r="367" spans="2:8">
      <c r="B367" s="152">
        <f t="shared" si="22"/>
        <v>0</v>
      </c>
      <c r="D367" s="127">
        <v>0</v>
      </c>
      <c r="E367" s="127">
        <v>0</v>
      </c>
      <c r="F367" s="127">
        <v>0</v>
      </c>
      <c r="G367" s="127">
        <v>0</v>
      </c>
      <c r="H367" s="127">
        <v>0</v>
      </c>
    </row>
    <row r="368" spans="2:8">
      <c r="B368" s="152">
        <f t="shared" si="22"/>
        <v>0</v>
      </c>
      <c r="D368" s="127">
        <v>0</v>
      </c>
      <c r="E368" s="127">
        <v>0</v>
      </c>
      <c r="F368" s="127">
        <v>0</v>
      </c>
      <c r="G368" s="127">
        <v>0</v>
      </c>
      <c r="H368" s="127">
        <v>0</v>
      </c>
    </row>
    <row r="369" spans="2:8">
      <c r="B369" s="152">
        <f t="shared" si="22"/>
        <v>0</v>
      </c>
      <c r="D369" s="127">
        <v>0</v>
      </c>
      <c r="E369" s="127">
        <v>0</v>
      </c>
      <c r="F369" s="127">
        <v>0</v>
      </c>
      <c r="G369" s="127">
        <v>0</v>
      </c>
      <c r="H369" s="127">
        <v>0</v>
      </c>
    </row>
    <row r="370" spans="2:8">
      <c r="B370" s="152">
        <f t="shared" si="22"/>
        <v>0</v>
      </c>
      <c r="D370" s="127">
        <v>0</v>
      </c>
      <c r="E370" s="127">
        <v>0</v>
      </c>
      <c r="F370" s="127">
        <v>0</v>
      </c>
      <c r="G370" s="127">
        <v>0</v>
      </c>
      <c r="H370" s="127">
        <v>0</v>
      </c>
    </row>
    <row r="371" spans="2:8">
      <c r="B371" s="152">
        <f t="shared" si="22"/>
        <v>0</v>
      </c>
      <c r="D371" s="127">
        <v>0</v>
      </c>
      <c r="E371" s="127">
        <v>0</v>
      </c>
      <c r="F371" s="127">
        <v>0</v>
      </c>
      <c r="G371" s="127">
        <v>0</v>
      </c>
      <c r="H371" s="127">
        <v>0</v>
      </c>
    </row>
    <row r="372" spans="2:8">
      <c r="B372" s="152">
        <f t="shared" si="22"/>
        <v>0</v>
      </c>
      <c r="D372" s="127">
        <v>0</v>
      </c>
      <c r="E372" s="127">
        <v>0</v>
      </c>
      <c r="F372" s="127">
        <v>0</v>
      </c>
      <c r="G372" s="127">
        <v>0</v>
      </c>
      <c r="H372" s="127">
        <v>0</v>
      </c>
    </row>
    <row r="373" spans="2:8">
      <c r="B373" s="152">
        <f t="shared" si="22"/>
        <v>0</v>
      </c>
      <c r="D373" s="127">
        <v>0</v>
      </c>
      <c r="E373" s="127">
        <v>0</v>
      </c>
      <c r="F373" s="127">
        <v>0</v>
      </c>
      <c r="G373" s="127">
        <v>0</v>
      </c>
      <c r="H373" s="127">
        <v>0</v>
      </c>
    </row>
    <row r="374" spans="2:8">
      <c r="B374" s="152">
        <f t="shared" si="22"/>
        <v>0</v>
      </c>
      <c r="D374" s="127">
        <v>0</v>
      </c>
      <c r="E374" s="127">
        <v>0</v>
      </c>
      <c r="F374" s="127">
        <v>0</v>
      </c>
      <c r="G374" s="127">
        <v>0</v>
      </c>
      <c r="H374" s="127">
        <v>0</v>
      </c>
    </row>
    <row r="375" spans="2:8">
      <c r="B375" s="152">
        <f t="shared" si="22"/>
        <v>0</v>
      </c>
      <c r="D375" s="127">
        <v>0</v>
      </c>
      <c r="E375" s="127">
        <v>0</v>
      </c>
      <c r="F375" s="127">
        <v>0</v>
      </c>
      <c r="G375" s="127">
        <v>0</v>
      </c>
      <c r="H375" s="127">
        <v>0</v>
      </c>
    </row>
    <row r="376" spans="2:8">
      <c r="B376" s="152">
        <f t="shared" si="22"/>
        <v>0</v>
      </c>
      <c r="D376" s="127">
        <v>0</v>
      </c>
      <c r="E376" s="127">
        <v>0</v>
      </c>
      <c r="F376" s="127">
        <v>0</v>
      </c>
      <c r="G376" s="127">
        <v>0</v>
      </c>
      <c r="H376" s="127">
        <v>0</v>
      </c>
    </row>
    <row r="377" spans="2:8">
      <c r="B377" s="152">
        <f t="shared" si="22"/>
        <v>0</v>
      </c>
      <c r="D377" s="127">
        <v>0</v>
      </c>
      <c r="E377" s="127">
        <v>0</v>
      </c>
      <c r="F377" s="127">
        <v>0</v>
      </c>
      <c r="G377" s="127">
        <v>0</v>
      </c>
      <c r="H377" s="127">
        <v>0</v>
      </c>
    </row>
    <row r="378" spans="2:8">
      <c r="B378" s="152">
        <f t="shared" si="22"/>
        <v>0</v>
      </c>
      <c r="D378" s="127">
        <v>0</v>
      </c>
      <c r="E378" s="127">
        <v>0</v>
      </c>
      <c r="F378" s="127">
        <v>0</v>
      </c>
      <c r="G378" s="127">
        <v>0</v>
      </c>
      <c r="H378" s="127">
        <v>0</v>
      </c>
    </row>
    <row r="379" spans="2:8">
      <c r="B379" s="152">
        <f t="shared" si="22"/>
        <v>0</v>
      </c>
      <c r="D379" s="127">
        <v>0</v>
      </c>
      <c r="E379" s="127">
        <v>0</v>
      </c>
      <c r="F379" s="127">
        <v>0</v>
      </c>
      <c r="G379" s="127">
        <v>0</v>
      </c>
      <c r="H379" s="127">
        <v>0</v>
      </c>
    </row>
    <row r="380" spans="2:8">
      <c r="B380" s="152">
        <f t="shared" si="22"/>
        <v>0</v>
      </c>
      <c r="D380" s="127">
        <v>0</v>
      </c>
      <c r="E380" s="127">
        <v>0</v>
      </c>
      <c r="F380" s="127">
        <v>0</v>
      </c>
      <c r="G380" s="127">
        <v>0</v>
      </c>
      <c r="H380" s="127">
        <v>0</v>
      </c>
    </row>
    <row r="381" spans="2:8">
      <c r="B381" s="152">
        <f t="shared" si="22"/>
        <v>0</v>
      </c>
      <c r="D381" s="127">
        <v>0</v>
      </c>
      <c r="E381" s="127">
        <v>0</v>
      </c>
      <c r="F381" s="127">
        <v>0</v>
      </c>
      <c r="G381" s="127">
        <v>0</v>
      </c>
      <c r="H381" s="127">
        <v>0</v>
      </c>
    </row>
    <row r="382" spans="2:8">
      <c r="B382" s="152">
        <f t="shared" si="22"/>
        <v>0</v>
      </c>
      <c r="D382" s="127">
        <v>0</v>
      </c>
      <c r="E382" s="127">
        <v>0</v>
      </c>
      <c r="F382" s="127">
        <v>0</v>
      </c>
      <c r="G382" s="127">
        <v>0</v>
      </c>
      <c r="H382" s="127">
        <v>0</v>
      </c>
    </row>
    <row r="383" spans="2:8">
      <c r="B383" s="152">
        <f t="shared" si="22"/>
        <v>0</v>
      </c>
      <c r="D383" s="127">
        <v>0</v>
      </c>
      <c r="E383" s="127">
        <v>0</v>
      </c>
      <c r="F383" s="127">
        <v>0</v>
      </c>
      <c r="G383" s="127">
        <v>0</v>
      </c>
      <c r="H383" s="127">
        <v>0</v>
      </c>
    </row>
    <row r="384" spans="2:8">
      <c r="B384" s="152">
        <f t="shared" si="22"/>
        <v>0</v>
      </c>
      <c r="D384" s="127">
        <v>0</v>
      </c>
      <c r="E384" s="127">
        <v>0</v>
      </c>
      <c r="F384" s="127">
        <v>0</v>
      </c>
      <c r="G384" s="127">
        <v>0</v>
      </c>
      <c r="H384" s="127">
        <v>0</v>
      </c>
    </row>
    <row r="385" spans="2:8">
      <c r="B385" s="152">
        <f t="shared" si="22"/>
        <v>0</v>
      </c>
      <c r="D385" s="127">
        <v>0</v>
      </c>
      <c r="E385" s="127">
        <v>0</v>
      </c>
      <c r="F385" s="127">
        <v>0</v>
      </c>
      <c r="G385" s="127">
        <v>0</v>
      </c>
      <c r="H385" s="127">
        <v>0</v>
      </c>
    </row>
    <row r="386" spans="2:8">
      <c r="B386" s="152">
        <f t="shared" si="22"/>
        <v>0</v>
      </c>
      <c r="D386" s="127">
        <v>0</v>
      </c>
      <c r="E386" s="127">
        <v>0</v>
      </c>
      <c r="F386" s="127">
        <v>0</v>
      </c>
      <c r="G386" s="127">
        <v>0</v>
      </c>
      <c r="H386" s="127">
        <v>0</v>
      </c>
    </row>
    <row r="387" spans="2:8">
      <c r="B387" s="152">
        <f t="shared" si="22"/>
        <v>0</v>
      </c>
      <c r="D387" s="127">
        <v>0</v>
      </c>
      <c r="E387" s="127">
        <v>0</v>
      </c>
      <c r="F387" s="127">
        <v>0</v>
      </c>
      <c r="G387" s="127">
        <v>0</v>
      </c>
      <c r="H387" s="127">
        <v>0</v>
      </c>
    </row>
    <row r="388" spans="2:8">
      <c r="B388" s="152">
        <f t="shared" si="22"/>
        <v>0</v>
      </c>
      <c r="D388" s="127">
        <v>0</v>
      </c>
      <c r="E388" s="127">
        <v>0</v>
      </c>
      <c r="F388" s="127">
        <v>0</v>
      </c>
      <c r="G388" s="127">
        <v>0</v>
      </c>
      <c r="H388" s="127">
        <v>0</v>
      </c>
    </row>
    <row r="389" spans="2:8">
      <c r="B389" s="152">
        <f t="shared" si="22"/>
        <v>0</v>
      </c>
      <c r="D389" s="127">
        <v>0</v>
      </c>
      <c r="E389" s="127">
        <v>0</v>
      </c>
      <c r="F389" s="127">
        <v>0</v>
      </c>
      <c r="G389" s="127">
        <v>0</v>
      </c>
      <c r="H389" s="127">
        <v>0</v>
      </c>
    </row>
    <row r="390" spans="2:8">
      <c r="B390" s="152">
        <f t="shared" si="22"/>
        <v>0</v>
      </c>
      <c r="D390" s="127">
        <v>0</v>
      </c>
      <c r="E390" s="127">
        <v>0</v>
      </c>
      <c r="F390" s="127">
        <v>0</v>
      </c>
      <c r="G390" s="127">
        <v>0</v>
      </c>
      <c r="H390" s="127">
        <v>0</v>
      </c>
    </row>
    <row r="391" spans="2:8">
      <c r="B391" s="152">
        <f t="shared" si="22"/>
        <v>0</v>
      </c>
      <c r="D391" s="127">
        <v>0</v>
      </c>
      <c r="E391" s="127">
        <v>0</v>
      </c>
      <c r="F391" s="127">
        <v>0</v>
      </c>
      <c r="G391" s="127">
        <v>0</v>
      </c>
      <c r="H391" s="127">
        <v>0</v>
      </c>
    </row>
    <row r="392" spans="2:8">
      <c r="B392" s="152">
        <f t="shared" si="22"/>
        <v>0</v>
      </c>
      <c r="D392" s="127">
        <v>0</v>
      </c>
      <c r="E392" s="127">
        <v>0</v>
      </c>
      <c r="F392" s="127">
        <v>0</v>
      </c>
      <c r="G392" s="127">
        <v>0</v>
      </c>
      <c r="H392" s="127">
        <v>0</v>
      </c>
    </row>
    <row r="393" spans="2:8">
      <c r="B393" s="152">
        <f t="shared" si="22"/>
        <v>0</v>
      </c>
      <c r="D393" s="127">
        <v>0</v>
      </c>
      <c r="E393" s="127">
        <v>0</v>
      </c>
      <c r="F393" s="127">
        <v>0</v>
      </c>
      <c r="G393" s="127">
        <v>0</v>
      </c>
      <c r="H393" s="127">
        <v>0</v>
      </c>
    </row>
    <row r="394" spans="2:8">
      <c r="B394" s="152">
        <f t="shared" si="22"/>
        <v>0</v>
      </c>
      <c r="D394" s="127">
        <v>0</v>
      </c>
      <c r="E394" s="127">
        <v>0</v>
      </c>
      <c r="F394" s="127">
        <v>0</v>
      </c>
      <c r="G394" s="127">
        <v>0</v>
      </c>
      <c r="H394" s="127">
        <v>0</v>
      </c>
    </row>
    <row r="395" spans="2:8">
      <c r="B395" s="152">
        <f t="shared" si="22"/>
        <v>0</v>
      </c>
      <c r="D395" s="127">
        <v>0</v>
      </c>
      <c r="E395" s="127">
        <v>0</v>
      </c>
      <c r="F395" s="127">
        <v>0</v>
      </c>
      <c r="G395" s="127">
        <v>0</v>
      </c>
      <c r="H395" s="127">
        <v>0</v>
      </c>
    </row>
    <row r="396" spans="2:8">
      <c r="B396" s="152">
        <f t="shared" si="22"/>
        <v>0</v>
      </c>
      <c r="D396" s="127">
        <v>0</v>
      </c>
      <c r="E396" s="127">
        <v>0</v>
      </c>
      <c r="F396" s="127">
        <v>0</v>
      </c>
      <c r="G396" s="127">
        <v>0</v>
      </c>
      <c r="H396" s="127">
        <v>0</v>
      </c>
    </row>
    <row r="397" spans="2:8">
      <c r="B397" s="152">
        <f t="shared" si="22"/>
        <v>0</v>
      </c>
      <c r="D397" s="127">
        <v>0</v>
      </c>
      <c r="E397" s="127">
        <v>0</v>
      </c>
      <c r="F397" s="127">
        <v>0</v>
      </c>
      <c r="G397" s="127">
        <v>0</v>
      </c>
      <c r="H397" s="127">
        <v>0</v>
      </c>
    </row>
    <row r="398" spans="2:8">
      <c r="B398" s="152">
        <f t="shared" si="22"/>
        <v>0</v>
      </c>
      <c r="D398" s="127">
        <v>0</v>
      </c>
      <c r="E398" s="127">
        <v>0</v>
      </c>
      <c r="F398" s="127">
        <v>0</v>
      </c>
      <c r="G398" s="127">
        <v>0</v>
      </c>
      <c r="H398" s="127">
        <v>0</v>
      </c>
    </row>
    <row r="399" spans="2:8">
      <c r="B399" s="152">
        <f t="shared" si="22"/>
        <v>0</v>
      </c>
      <c r="D399" s="127">
        <v>0</v>
      </c>
      <c r="E399" s="127">
        <v>0</v>
      </c>
      <c r="F399" s="127">
        <v>0</v>
      </c>
      <c r="G399" s="127">
        <v>0</v>
      </c>
      <c r="H399" s="127">
        <v>0</v>
      </c>
    </row>
    <row r="400" spans="2:8">
      <c r="B400" s="152">
        <f t="shared" si="22"/>
        <v>0</v>
      </c>
      <c r="D400" s="127">
        <v>0</v>
      </c>
      <c r="E400" s="127">
        <v>0</v>
      </c>
      <c r="F400" s="127">
        <v>0</v>
      </c>
      <c r="G400" s="127">
        <v>0</v>
      </c>
      <c r="H400" s="127">
        <v>0</v>
      </c>
    </row>
    <row r="401" spans="2:8">
      <c r="B401" s="152">
        <f t="shared" si="22"/>
        <v>0</v>
      </c>
      <c r="D401" s="127">
        <v>0</v>
      </c>
      <c r="E401" s="127">
        <v>0</v>
      </c>
      <c r="F401" s="127">
        <v>0</v>
      </c>
      <c r="G401" s="127">
        <v>0</v>
      </c>
      <c r="H401" s="127">
        <v>0</v>
      </c>
    </row>
    <row r="402" spans="2:8">
      <c r="B402" s="152">
        <f t="shared" si="22"/>
        <v>0</v>
      </c>
      <c r="D402" s="127">
        <v>0</v>
      </c>
      <c r="E402" s="127">
        <v>0</v>
      </c>
      <c r="F402" s="127">
        <v>0</v>
      </c>
      <c r="G402" s="127">
        <v>0</v>
      </c>
      <c r="H402" s="127">
        <v>0</v>
      </c>
    </row>
    <row r="403" spans="2:8">
      <c r="B403" s="152">
        <f t="shared" si="22"/>
        <v>0</v>
      </c>
      <c r="D403" s="127">
        <v>0</v>
      </c>
      <c r="E403" s="127">
        <v>0</v>
      </c>
      <c r="F403" s="127">
        <v>0</v>
      </c>
      <c r="G403" s="127">
        <v>0</v>
      </c>
      <c r="H403" s="127">
        <v>0</v>
      </c>
    </row>
    <row r="404" spans="2:8">
      <c r="B404" s="152">
        <f t="shared" si="22"/>
        <v>0</v>
      </c>
      <c r="D404" s="127">
        <v>0</v>
      </c>
      <c r="E404" s="127">
        <v>0</v>
      </c>
      <c r="F404" s="127">
        <v>0</v>
      </c>
      <c r="G404" s="127">
        <v>0</v>
      </c>
      <c r="H404" s="127">
        <v>0</v>
      </c>
    </row>
    <row r="405" spans="2:8">
      <c r="B405" s="152">
        <f t="shared" si="22"/>
        <v>0</v>
      </c>
      <c r="D405" s="127">
        <v>0</v>
      </c>
      <c r="E405" s="127">
        <v>0</v>
      </c>
      <c r="F405" s="127">
        <v>0</v>
      </c>
      <c r="G405" s="127">
        <v>0</v>
      </c>
      <c r="H405" s="127">
        <v>0</v>
      </c>
    </row>
    <row r="406" spans="2:8">
      <c r="B406" s="152">
        <f t="shared" si="22"/>
        <v>0</v>
      </c>
      <c r="D406" s="127">
        <v>0</v>
      </c>
      <c r="E406" s="127">
        <v>0</v>
      </c>
      <c r="F406" s="127">
        <v>0</v>
      </c>
      <c r="G406" s="127">
        <v>0</v>
      </c>
      <c r="H406" s="127">
        <v>0</v>
      </c>
    </row>
    <row r="407" spans="2:8">
      <c r="B407" s="152">
        <f t="shared" si="22"/>
        <v>0</v>
      </c>
      <c r="D407" s="127">
        <v>0</v>
      </c>
      <c r="E407" s="127">
        <v>0</v>
      </c>
      <c r="F407" s="127">
        <v>0</v>
      </c>
      <c r="G407" s="127">
        <v>0</v>
      </c>
      <c r="H407" s="127">
        <v>0</v>
      </c>
    </row>
    <row r="408" spans="2:8">
      <c r="B408" s="152">
        <f t="shared" si="22"/>
        <v>0</v>
      </c>
      <c r="D408" s="127">
        <v>0</v>
      </c>
      <c r="E408" s="127">
        <v>0</v>
      </c>
      <c r="F408" s="127">
        <v>0</v>
      </c>
      <c r="G408" s="127">
        <v>0</v>
      </c>
      <c r="H408" s="127">
        <v>0</v>
      </c>
    </row>
    <row r="409" spans="2:8">
      <c r="B409" s="152">
        <f t="shared" si="22"/>
        <v>0</v>
      </c>
      <c r="D409" s="127">
        <v>0</v>
      </c>
      <c r="E409" s="127">
        <v>0</v>
      </c>
      <c r="F409" s="127">
        <v>0</v>
      </c>
      <c r="G409" s="127">
        <v>0</v>
      </c>
      <c r="H409" s="127">
        <v>0</v>
      </c>
    </row>
    <row r="410" spans="2:8">
      <c r="B410" s="152">
        <f t="shared" si="22"/>
        <v>0</v>
      </c>
      <c r="D410" s="127">
        <v>0</v>
      </c>
      <c r="E410" s="127">
        <v>0</v>
      </c>
      <c r="F410" s="127">
        <v>0</v>
      </c>
      <c r="G410" s="127">
        <v>0</v>
      </c>
      <c r="H410" s="127">
        <v>0</v>
      </c>
    </row>
    <row r="411" spans="2:8">
      <c r="B411" s="152">
        <f t="shared" si="22"/>
        <v>0</v>
      </c>
      <c r="D411" s="127">
        <v>0</v>
      </c>
      <c r="E411" s="127">
        <v>0</v>
      </c>
      <c r="F411" s="127">
        <v>0</v>
      </c>
      <c r="G411" s="127">
        <v>0</v>
      </c>
      <c r="H411" s="127">
        <v>0</v>
      </c>
    </row>
    <row r="412" spans="2:8">
      <c r="B412" s="152">
        <f t="shared" si="22"/>
        <v>0</v>
      </c>
      <c r="D412" s="127">
        <v>0</v>
      </c>
      <c r="E412" s="127">
        <v>0</v>
      </c>
      <c r="F412" s="127">
        <v>0</v>
      </c>
      <c r="G412" s="127">
        <v>0</v>
      </c>
      <c r="H412" s="127">
        <v>0</v>
      </c>
    </row>
    <row r="413" spans="2:8">
      <c r="B413" s="152">
        <f t="shared" si="22"/>
        <v>0</v>
      </c>
      <c r="D413" s="127">
        <v>0</v>
      </c>
      <c r="E413" s="127">
        <v>0</v>
      </c>
      <c r="F413" s="127">
        <v>0</v>
      </c>
      <c r="G413" s="127">
        <v>0</v>
      </c>
      <c r="H413" s="127">
        <v>0</v>
      </c>
    </row>
    <row r="414" spans="2:8">
      <c r="B414" s="152">
        <f t="shared" si="22"/>
        <v>0</v>
      </c>
      <c r="D414" s="127">
        <v>0</v>
      </c>
      <c r="E414" s="127">
        <v>0</v>
      </c>
      <c r="F414" s="127">
        <v>0</v>
      </c>
      <c r="G414" s="127">
        <v>0</v>
      </c>
      <c r="H414" s="127">
        <v>0</v>
      </c>
    </row>
    <row r="415" spans="2:8">
      <c r="B415" s="152">
        <f t="shared" si="22"/>
        <v>0</v>
      </c>
      <c r="D415" s="127">
        <v>0</v>
      </c>
      <c r="E415" s="127">
        <v>0</v>
      </c>
      <c r="F415" s="127">
        <v>0</v>
      </c>
      <c r="G415" s="127">
        <v>0</v>
      </c>
      <c r="H415" s="127">
        <v>0</v>
      </c>
    </row>
    <row r="416" spans="2:8">
      <c r="B416" s="152">
        <f t="shared" si="22"/>
        <v>0</v>
      </c>
      <c r="D416" s="127">
        <v>0</v>
      </c>
      <c r="E416" s="127">
        <v>0</v>
      </c>
      <c r="F416" s="127">
        <v>0</v>
      </c>
      <c r="G416" s="127">
        <v>0</v>
      </c>
      <c r="H416" s="127">
        <v>0</v>
      </c>
    </row>
    <row r="417" spans="2:8">
      <c r="B417" s="152">
        <f t="shared" si="22"/>
        <v>0</v>
      </c>
      <c r="D417" s="127">
        <v>0</v>
      </c>
      <c r="E417" s="127">
        <v>0</v>
      </c>
      <c r="F417" s="127">
        <v>0</v>
      </c>
      <c r="G417" s="127">
        <v>0</v>
      </c>
      <c r="H417" s="127">
        <v>0</v>
      </c>
    </row>
    <row r="418" spans="2:8">
      <c r="B418" s="152">
        <f t="shared" si="22"/>
        <v>0</v>
      </c>
      <c r="D418" s="127">
        <v>0</v>
      </c>
      <c r="E418" s="127">
        <v>0</v>
      </c>
      <c r="F418" s="127">
        <v>0</v>
      </c>
      <c r="G418" s="127">
        <v>0</v>
      </c>
      <c r="H418" s="127">
        <v>0</v>
      </c>
    </row>
    <row r="419" spans="2:8">
      <c r="B419" s="152">
        <f t="shared" si="22"/>
        <v>0</v>
      </c>
      <c r="D419" s="127">
        <v>0</v>
      </c>
      <c r="E419" s="127">
        <v>0</v>
      </c>
      <c r="F419" s="127">
        <v>0</v>
      </c>
      <c r="G419" s="127">
        <v>0</v>
      </c>
      <c r="H419" s="127">
        <v>0</v>
      </c>
    </row>
    <row r="420" spans="2:8">
      <c r="B420" s="152">
        <f t="shared" si="22"/>
        <v>0</v>
      </c>
      <c r="D420" s="127">
        <v>0</v>
      </c>
      <c r="E420" s="127">
        <v>0</v>
      </c>
      <c r="F420" s="127">
        <v>0</v>
      </c>
      <c r="G420" s="127">
        <v>0</v>
      </c>
      <c r="H420" s="127">
        <v>0</v>
      </c>
    </row>
    <row r="421" spans="2:8">
      <c r="B421" s="152">
        <f t="shared" ref="B421:B484" si="23">B254</f>
        <v>0</v>
      </c>
      <c r="D421" s="127">
        <v>0</v>
      </c>
      <c r="E421" s="127">
        <v>0</v>
      </c>
      <c r="F421" s="127">
        <v>0</v>
      </c>
      <c r="G421" s="127">
        <v>0</v>
      </c>
      <c r="H421" s="127">
        <v>0</v>
      </c>
    </row>
    <row r="422" spans="2:8">
      <c r="B422" s="152">
        <f t="shared" si="23"/>
        <v>0</v>
      </c>
      <c r="D422" s="127">
        <v>0</v>
      </c>
      <c r="E422" s="127">
        <v>0</v>
      </c>
      <c r="F422" s="127">
        <v>0</v>
      </c>
      <c r="G422" s="127">
        <v>0</v>
      </c>
      <c r="H422" s="127">
        <v>0</v>
      </c>
    </row>
    <row r="423" spans="2:8">
      <c r="B423" s="152">
        <f t="shared" si="23"/>
        <v>0</v>
      </c>
      <c r="D423" s="127">
        <v>0</v>
      </c>
      <c r="E423" s="127">
        <v>0</v>
      </c>
      <c r="F423" s="127">
        <v>0</v>
      </c>
      <c r="G423" s="127">
        <v>0</v>
      </c>
      <c r="H423" s="127">
        <v>0</v>
      </c>
    </row>
    <row r="424" spans="2:8">
      <c r="B424" s="152">
        <f t="shared" si="23"/>
        <v>0</v>
      </c>
      <c r="D424" s="127">
        <v>0</v>
      </c>
      <c r="E424" s="127">
        <v>0</v>
      </c>
      <c r="F424" s="127">
        <v>0</v>
      </c>
      <c r="G424" s="127">
        <v>0</v>
      </c>
      <c r="H424" s="127">
        <v>0</v>
      </c>
    </row>
    <row r="425" spans="2:8">
      <c r="B425" s="152">
        <f t="shared" si="23"/>
        <v>0</v>
      </c>
      <c r="D425" s="127">
        <v>0</v>
      </c>
      <c r="E425" s="127">
        <v>0</v>
      </c>
      <c r="F425" s="127">
        <v>0</v>
      </c>
      <c r="G425" s="127">
        <v>0</v>
      </c>
      <c r="H425" s="127">
        <v>0</v>
      </c>
    </row>
    <row r="426" spans="2:8">
      <c r="B426" s="152">
        <f t="shared" si="23"/>
        <v>0</v>
      </c>
      <c r="D426" s="127">
        <v>0</v>
      </c>
      <c r="E426" s="127">
        <v>0</v>
      </c>
      <c r="F426" s="127">
        <v>0</v>
      </c>
      <c r="G426" s="127">
        <v>0</v>
      </c>
      <c r="H426" s="127">
        <v>0</v>
      </c>
    </row>
    <row r="427" spans="2:8">
      <c r="B427" s="152">
        <f t="shared" si="23"/>
        <v>0</v>
      </c>
      <c r="D427" s="127">
        <v>0</v>
      </c>
      <c r="E427" s="127">
        <v>0</v>
      </c>
      <c r="F427" s="127">
        <v>0</v>
      </c>
      <c r="G427" s="127">
        <v>0</v>
      </c>
      <c r="H427" s="127">
        <v>0</v>
      </c>
    </row>
    <row r="428" spans="2:8">
      <c r="B428" s="152">
        <f t="shared" si="23"/>
        <v>0</v>
      </c>
      <c r="D428" s="127">
        <v>0</v>
      </c>
      <c r="E428" s="127">
        <v>0</v>
      </c>
      <c r="F428" s="127">
        <v>0</v>
      </c>
      <c r="G428" s="127">
        <v>0</v>
      </c>
      <c r="H428" s="127">
        <v>0</v>
      </c>
    </row>
    <row r="429" spans="2:8">
      <c r="B429" s="152">
        <f t="shared" si="23"/>
        <v>0</v>
      </c>
      <c r="D429" s="127">
        <v>0</v>
      </c>
      <c r="E429" s="127">
        <v>0</v>
      </c>
      <c r="F429" s="127">
        <v>0</v>
      </c>
      <c r="G429" s="127">
        <v>0</v>
      </c>
      <c r="H429" s="127">
        <v>0</v>
      </c>
    </row>
    <row r="430" spans="2:8">
      <c r="B430" s="152">
        <f t="shared" si="23"/>
        <v>0</v>
      </c>
      <c r="D430" s="127">
        <v>0</v>
      </c>
      <c r="E430" s="127">
        <v>0</v>
      </c>
      <c r="F430" s="127">
        <v>0</v>
      </c>
      <c r="G430" s="127">
        <v>0</v>
      </c>
      <c r="H430" s="127">
        <v>0</v>
      </c>
    </row>
    <row r="431" spans="2:8">
      <c r="B431" s="152">
        <f t="shared" si="23"/>
        <v>0</v>
      </c>
      <c r="D431" s="127">
        <v>0</v>
      </c>
      <c r="E431" s="127">
        <v>0</v>
      </c>
      <c r="F431" s="127">
        <v>0</v>
      </c>
      <c r="G431" s="127">
        <v>0</v>
      </c>
      <c r="H431" s="127">
        <v>0</v>
      </c>
    </row>
    <row r="432" spans="2:8">
      <c r="B432" s="152">
        <f t="shared" si="23"/>
        <v>0</v>
      </c>
      <c r="D432" s="127">
        <v>0</v>
      </c>
      <c r="E432" s="127">
        <v>0</v>
      </c>
      <c r="F432" s="127">
        <v>0</v>
      </c>
      <c r="G432" s="127">
        <v>0</v>
      </c>
      <c r="H432" s="127">
        <v>0</v>
      </c>
    </row>
    <row r="433" spans="2:8">
      <c r="B433" s="152">
        <f t="shared" si="23"/>
        <v>0</v>
      </c>
      <c r="D433" s="127">
        <v>0</v>
      </c>
      <c r="E433" s="127">
        <v>0</v>
      </c>
      <c r="F433" s="127">
        <v>0</v>
      </c>
      <c r="G433" s="127">
        <v>0</v>
      </c>
      <c r="H433" s="127">
        <v>0</v>
      </c>
    </row>
    <row r="434" spans="2:8">
      <c r="B434" s="152">
        <f t="shared" si="23"/>
        <v>0</v>
      </c>
      <c r="D434" s="127">
        <v>0</v>
      </c>
      <c r="E434" s="127">
        <v>0</v>
      </c>
      <c r="F434" s="127">
        <v>0</v>
      </c>
      <c r="G434" s="127">
        <v>0</v>
      </c>
      <c r="H434" s="127">
        <v>0</v>
      </c>
    </row>
    <row r="435" spans="2:8">
      <c r="B435" s="152">
        <f t="shared" si="23"/>
        <v>0</v>
      </c>
      <c r="D435" s="127">
        <v>0</v>
      </c>
      <c r="E435" s="127">
        <v>0</v>
      </c>
      <c r="F435" s="127">
        <v>0</v>
      </c>
      <c r="G435" s="127">
        <v>0</v>
      </c>
      <c r="H435" s="127">
        <v>0</v>
      </c>
    </row>
    <row r="436" spans="2:8">
      <c r="B436" s="152">
        <f t="shared" si="23"/>
        <v>0</v>
      </c>
      <c r="D436" s="127">
        <v>0</v>
      </c>
      <c r="E436" s="127">
        <v>0</v>
      </c>
      <c r="F436" s="127">
        <v>0</v>
      </c>
      <c r="G436" s="127">
        <v>0</v>
      </c>
      <c r="H436" s="127">
        <v>0</v>
      </c>
    </row>
    <row r="437" spans="2:8">
      <c r="B437" s="152">
        <f t="shared" si="23"/>
        <v>0</v>
      </c>
      <c r="D437" s="127">
        <v>0</v>
      </c>
      <c r="E437" s="127">
        <v>0</v>
      </c>
      <c r="F437" s="127">
        <v>0</v>
      </c>
      <c r="G437" s="127">
        <v>0</v>
      </c>
      <c r="H437" s="127">
        <v>0</v>
      </c>
    </row>
    <row r="438" spans="2:8">
      <c r="B438" s="152">
        <f t="shared" si="23"/>
        <v>0</v>
      </c>
      <c r="D438" s="127">
        <v>0</v>
      </c>
      <c r="E438" s="127">
        <v>0</v>
      </c>
      <c r="F438" s="127">
        <v>0</v>
      </c>
      <c r="G438" s="127">
        <v>0</v>
      </c>
      <c r="H438" s="127">
        <v>0</v>
      </c>
    </row>
    <row r="439" spans="2:8">
      <c r="B439" s="152">
        <f t="shared" si="23"/>
        <v>0</v>
      </c>
      <c r="D439" s="127">
        <v>0</v>
      </c>
      <c r="E439" s="127">
        <v>0</v>
      </c>
      <c r="F439" s="127">
        <v>0</v>
      </c>
      <c r="G439" s="127">
        <v>0</v>
      </c>
      <c r="H439" s="127">
        <v>0</v>
      </c>
    </row>
    <row r="440" spans="2:8">
      <c r="B440" s="152">
        <f t="shared" si="23"/>
        <v>0</v>
      </c>
      <c r="D440" s="127">
        <v>0</v>
      </c>
      <c r="E440" s="127">
        <v>0</v>
      </c>
      <c r="F440" s="127">
        <v>0</v>
      </c>
      <c r="G440" s="127">
        <v>0</v>
      </c>
      <c r="H440" s="127">
        <v>0</v>
      </c>
    </row>
    <row r="441" spans="2:8">
      <c r="B441" s="152">
        <f t="shared" si="23"/>
        <v>0</v>
      </c>
      <c r="D441" s="127">
        <v>0</v>
      </c>
      <c r="E441" s="127">
        <v>0</v>
      </c>
      <c r="F441" s="127">
        <v>0</v>
      </c>
      <c r="G441" s="127">
        <v>0</v>
      </c>
      <c r="H441" s="127">
        <v>0</v>
      </c>
    </row>
    <row r="442" spans="2:8">
      <c r="B442" s="152">
        <f t="shared" si="23"/>
        <v>0</v>
      </c>
      <c r="D442" s="127">
        <v>0</v>
      </c>
      <c r="E442" s="127">
        <v>0</v>
      </c>
      <c r="F442" s="127">
        <v>0</v>
      </c>
      <c r="G442" s="127">
        <v>0</v>
      </c>
      <c r="H442" s="127">
        <v>0</v>
      </c>
    </row>
    <row r="443" spans="2:8">
      <c r="B443" s="152">
        <f t="shared" si="23"/>
        <v>0</v>
      </c>
      <c r="D443" s="127">
        <v>0</v>
      </c>
      <c r="E443" s="127">
        <v>0</v>
      </c>
      <c r="F443" s="127">
        <v>0</v>
      </c>
      <c r="G443" s="127">
        <v>0</v>
      </c>
      <c r="H443" s="127">
        <v>0</v>
      </c>
    </row>
    <row r="444" spans="2:8">
      <c r="B444" s="152">
        <f t="shared" si="23"/>
        <v>0</v>
      </c>
      <c r="D444" s="127">
        <v>0</v>
      </c>
      <c r="E444" s="127">
        <v>0</v>
      </c>
      <c r="F444" s="127">
        <v>0</v>
      </c>
      <c r="G444" s="127">
        <v>0</v>
      </c>
      <c r="H444" s="127">
        <v>0</v>
      </c>
    </row>
    <row r="445" spans="2:8">
      <c r="B445" s="152">
        <f t="shared" si="23"/>
        <v>0</v>
      </c>
      <c r="D445" s="127">
        <v>0</v>
      </c>
      <c r="E445" s="127">
        <v>0</v>
      </c>
      <c r="F445" s="127">
        <v>0</v>
      </c>
      <c r="G445" s="127">
        <v>0</v>
      </c>
      <c r="H445" s="127">
        <v>0</v>
      </c>
    </row>
    <row r="446" spans="2:8">
      <c r="B446" s="152">
        <f t="shared" si="23"/>
        <v>0</v>
      </c>
      <c r="D446" s="127">
        <v>0</v>
      </c>
      <c r="E446" s="127">
        <v>0</v>
      </c>
      <c r="F446" s="127">
        <v>0</v>
      </c>
      <c r="G446" s="127">
        <v>0</v>
      </c>
      <c r="H446" s="127">
        <v>0</v>
      </c>
    </row>
    <row r="447" spans="2:8">
      <c r="B447" s="152">
        <f t="shared" si="23"/>
        <v>0</v>
      </c>
      <c r="D447" s="127">
        <v>0</v>
      </c>
      <c r="E447" s="127">
        <v>0</v>
      </c>
      <c r="F447" s="127">
        <v>0</v>
      </c>
      <c r="G447" s="127">
        <v>0</v>
      </c>
      <c r="H447" s="127">
        <v>0</v>
      </c>
    </row>
    <row r="448" spans="2:8">
      <c r="B448" s="152">
        <f t="shared" si="23"/>
        <v>0</v>
      </c>
      <c r="D448" s="127">
        <v>0</v>
      </c>
      <c r="E448" s="127">
        <v>0</v>
      </c>
      <c r="F448" s="127">
        <v>0</v>
      </c>
      <c r="G448" s="127">
        <v>0</v>
      </c>
      <c r="H448" s="127">
        <v>0</v>
      </c>
    </row>
    <row r="449" spans="2:8">
      <c r="B449" s="152">
        <f t="shared" si="23"/>
        <v>0</v>
      </c>
      <c r="D449" s="127">
        <v>0</v>
      </c>
      <c r="E449" s="127">
        <v>0</v>
      </c>
      <c r="F449" s="127">
        <v>0</v>
      </c>
      <c r="G449" s="127">
        <v>0</v>
      </c>
      <c r="H449" s="127">
        <v>0</v>
      </c>
    </row>
    <row r="450" spans="2:8">
      <c r="B450" s="152">
        <f t="shared" si="23"/>
        <v>0</v>
      </c>
      <c r="D450" s="127">
        <v>0</v>
      </c>
      <c r="E450" s="127">
        <v>0</v>
      </c>
      <c r="F450" s="127">
        <v>0</v>
      </c>
      <c r="G450" s="127">
        <v>0</v>
      </c>
      <c r="H450" s="127">
        <v>0</v>
      </c>
    </row>
    <row r="451" spans="2:8">
      <c r="B451" s="152">
        <f t="shared" si="23"/>
        <v>0</v>
      </c>
      <c r="D451" s="127">
        <v>0</v>
      </c>
      <c r="E451" s="127">
        <v>0</v>
      </c>
      <c r="F451" s="127">
        <v>0</v>
      </c>
      <c r="G451" s="127">
        <v>0</v>
      </c>
      <c r="H451" s="127">
        <v>0</v>
      </c>
    </row>
    <row r="452" spans="2:8">
      <c r="B452" s="152">
        <f t="shared" si="23"/>
        <v>0</v>
      </c>
      <c r="D452" s="127">
        <v>0</v>
      </c>
      <c r="E452" s="127">
        <v>0</v>
      </c>
      <c r="F452" s="127">
        <v>0</v>
      </c>
      <c r="G452" s="127">
        <v>0</v>
      </c>
      <c r="H452" s="127">
        <v>0</v>
      </c>
    </row>
    <row r="453" spans="2:8">
      <c r="B453" s="152">
        <f t="shared" si="23"/>
        <v>0</v>
      </c>
      <c r="D453" s="127">
        <v>0</v>
      </c>
      <c r="E453" s="127">
        <v>0</v>
      </c>
      <c r="F453" s="127">
        <v>0</v>
      </c>
      <c r="G453" s="127">
        <v>0</v>
      </c>
      <c r="H453" s="127">
        <v>0</v>
      </c>
    </row>
    <row r="454" spans="2:8">
      <c r="B454" s="152">
        <f t="shared" si="23"/>
        <v>0</v>
      </c>
      <c r="D454" s="127">
        <v>0</v>
      </c>
      <c r="E454" s="127">
        <v>0</v>
      </c>
      <c r="F454" s="127">
        <v>0</v>
      </c>
      <c r="G454" s="127">
        <v>0</v>
      </c>
      <c r="H454" s="127">
        <v>0</v>
      </c>
    </row>
    <row r="455" spans="2:8">
      <c r="B455" s="152">
        <f t="shared" si="23"/>
        <v>0</v>
      </c>
      <c r="D455" s="127">
        <v>0</v>
      </c>
      <c r="E455" s="127">
        <v>0</v>
      </c>
      <c r="F455" s="127">
        <v>0</v>
      </c>
      <c r="G455" s="127">
        <v>0</v>
      </c>
      <c r="H455" s="127">
        <v>0</v>
      </c>
    </row>
    <row r="456" spans="2:8">
      <c r="B456" s="152">
        <f t="shared" si="23"/>
        <v>0</v>
      </c>
      <c r="D456" s="127">
        <v>0</v>
      </c>
      <c r="E456" s="127">
        <v>0</v>
      </c>
      <c r="F456" s="127">
        <v>0</v>
      </c>
      <c r="G456" s="127">
        <v>0</v>
      </c>
      <c r="H456" s="127">
        <v>0</v>
      </c>
    </row>
    <row r="457" spans="2:8">
      <c r="B457" s="152">
        <f t="shared" si="23"/>
        <v>0</v>
      </c>
      <c r="D457" s="127">
        <v>0</v>
      </c>
      <c r="E457" s="127">
        <v>0</v>
      </c>
      <c r="F457" s="127">
        <v>0</v>
      </c>
      <c r="G457" s="127">
        <v>0</v>
      </c>
      <c r="H457" s="127">
        <v>0</v>
      </c>
    </row>
    <row r="458" spans="2:8">
      <c r="B458" s="152">
        <f t="shared" si="23"/>
        <v>0</v>
      </c>
      <c r="D458" s="127">
        <v>0</v>
      </c>
      <c r="E458" s="127">
        <v>0</v>
      </c>
      <c r="F458" s="127">
        <v>0</v>
      </c>
      <c r="G458" s="127">
        <v>0</v>
      </c>
      <c r="H458" s="127">
        <v>0</v>
      </c>
    </row>
    <row r="459" spans="2:8">
      <c r="B459" s="152">
        <f t="shared" si="23"/>
        <v>0</v>
      </c>
      <c r="D459" s="127">
        <v>0</v>
      </c>
      <c r="E459" s="127">
        <v>0</v>
      </c>
      <c r="F459" s="127">
        <v>0</v>
      </c>
      <c r="G459" s="127">
        <v>0</v>
      </c>
      <c r="H459" s="127">
        <v>0</v>
      </c>
    </row>
    <row r="460" spans="2:8">
      <c r="B460" s="152">
        <f t="shared" si="23"/>
        <v>0</v>
      </c>
      <c r="D460" s="127">
        <v>0</v>
      </c>
      <c r="E460" s="127">
        <v>0</v>
      </c>
      <c r="F460" s="127">
        <v>0</v>
      </c>
      <c r="G460" s="127">
        <v>0</v>
      </c>
      <c r="H460" s="127">
        <v>0</v>
      </c>
    </row>
    <row r="461" spans="2:8">
      <c r="B461" s="152">
        <f t="shared" si="23"/>
        <v>0</v>
      </c>
      <c r="D461" s="127">
        <v>0</v>
      </c>
      <c r="E461" s="127">
        <v>0</v>
      </c>
      <c r="F461" s="127">
        <v>0</v>
      </c>
      <c r="G461" s="127">
        <v>0</v>
      </c>
      <c r="H461" s="127">
        <v>0</v>
      </c>
    </row>
    <row r="462" spans="2:8">
      <c r="B462" s="152">
        <f t="shared" si="23"/>
        <v>0</v>
      </c>
      <c r="D462" s="127">
        <v>0</v>
      </c>
      <c r="E462" s="127">
        <v>0</v>
      </c>
      <c r="F462" s="127">
        <v>0</v>
      </c>
      <c r="G462" s="127">
        <v>0</v>
      </c>
      <c r="H462" s="127">
        <v>0</v>
      </c>
    </row>
    <row r="463" spans="2:8">
      <c r="B463" s="152">
        <f t="shared" si="23"/>
        <v>0</v>
      </c>
      <c r="D463" s="127">
        <v>0</v>
      </c>
      <c r="E463" s="127">
        <v>0</v>
      </c>
      <c r="F463" s="127">
        <v>0</v>
      </c>
      <c r="G463" s="127">
        <v>0</v>
      </c>
      <c r="H463" s="127">
        <v>0</v>
      </c>
    </row>
    <row r="464" spans="2:8">
      <c r="B464" s="152">
        <f t="shared" si="23"/>
        <v>0</v>
      </c>
      <c r="D464" s="127">
        <v>0</v>
      </c>
      <c r="E464" s="127">
        <v>0</v>
      </c>
      <c r="F464" s="127">
        <v>0</v>
      </c>
      <c r="G464" s="127">
        <v>0</v>
      </c>
      <c r="H464" s="127">
        <v>0</v>
      </c>
    </row>
    <row r="465" spans="2:8">
      <c r="B465" s="152">
        <f t="shared" si="23"/>
        <v>0</v>
      </c>
      <c r="D465" s="127">
        <v>0</v>
      </c>
      <c r="E465" s="127">
        <v>0</v>
      </c>
      <c r="F465" s="127">
        <v>0</v>
      </c>
      <c r="G465" s="127">
        <v>0</v>
      </c>
      <c r="H465" s="127">
        <v>0</v>
      </c>
    </row>
    <row r="466" spans="2:8">
      <c r="B466" s="152">
        <f t="shared" si="23"/>
        <v>0</v>
      </c>
      <c r="D466" s="127">
        <v>0</v>
      </c>
      <c r="E466" s="127">
        <v>0</v>
      </c>
      <c r="F466" s="127">
        <v>0</v>
      </c>
      <c r="G466" s="127">
        <v>0</v>
      </c>
      <c r="H466" s="127">
        <v>0</v>
      </c>
    </row>
    <row r="467" spans="2:8">
      <c r="B467" s="152">
        <f t="shared" si="23"/>
        <v>0</v>
      </c>
      <c r="D467" s="127">
        <v>0</v>
      </c>
      <c r="E467" s="127">
        <v>0</v>
      </c>
      <c r="F467" s="127">
        <v>0</v>
      </c>
      <c r="G467" s="127">
        <v>0</v>
      </c>
      <c r="H467" s="127">
        <v>0</v>
      </c>
    </row>
    <row r="468" spans="2:8">
      <c r="B468" s="152">
        <f t="shared" si="23"/>
        <v>0</v>
      </c>
      <c r="D468" s="127">
        <v>0</v>
      </c>
      <c r="E468" s="127">
        <v>0</v>
      </c>
      <c r="F468" s="127">
        <v>0</v>
      </c>
      <c r="G468" s="127">
        <v>0</v>
      </c>
      <c r="H468" s="127">
        <v>0</v>
      </c>
    </row>
    <row r="469" spans="2:8">
      <c r="B469" s="152">
        <f t="shared" si="23"/>
        <v>0</v>
      </c>
      <c r="D469" s="127">
        <v>0</v>
      </c>
      <c r="E469" s="127">
        <v>0</v>
      </c>
      <c r="F469" s="127">
        <v>0</v>
      </c>
      <c r="G469" s="127">
        <v>0</v>
      </c>
      <c r="H469" s="127">
        <v>0</v>
      </c>
    </row>
    <row r="470" spans="2:8">
      <c r="B470" s="152">
        <f t="shared" si="23"/>
        <v>0</v>
      </c>
      <c r="D470" s="127">
        <v>0</v>
      </c>
      <c r="E470" s="127">
        <v>0</v>
      </c>
      <c r="F470" s="127">
        <v>0</v>
      </c>
      <c r="G470" s="127">
        <v>0</v>
      </c>
      <c r="H470" s="127">
        <v>0</v>
      </c>
    </row>
    <row r="471" spans="2:8">
      <c r="B471" s="152">
        <f t="shared" si="23"/>
        <v>0</v>
      </c>
      <c r="D471" s="127">
        <v>0</v>
      </c>
      <c r="E471" s="127">
        <v>0</v>
      </c>
      <c r="F471" s="127">
        <v>0</v>
      </c>
      <c r="G471" s="127">
        <v>0</v>
      </c>
      <c r="H471" s="127">
        <v>0</v>
      </c>
    </row>
    <row r="472" spans="2:8">
      <c r="B472" s="152">
        <f t="shared" si="23"/>
        <v>0</v>
      </c>
      <c r="D472" s="127">
        <v>0</v>
      </c>
      <c r="E472" s="127">
        <v>0</v>
      </c>
      <c r="F472" s="127">
        <v>0</v>
      </c>
      <c r="G472" s="127">
        <v>0</v>
      </c>
      <c r="H472" s="127">
        <v>0</v>
      </c>
    </row>
    <row r="473" spans="2:8">
      <c r="B473" s="152">
        <f t="shared" si="23"/>
        <v>0</v>
      </c>
      <c r="D473" s="127">
        <v>0</v>
      </c>
      <c r="E473" s="127">
        <v>0</v>
      </c>
      <c r="F473" s="127">
        <v>0</v>
      </c>
      <c r="G473" s="127">
        <v>0</v>
      </c>
      <c r="H473" s="127">
        <v>0</v>
      </c>
    </row>
    <row r="474" spans="2:8">
      <c r="B474" s="152">
        <f t="shared" si="23"/>
        <v>0</v>
      </c>
      <c r="D474" s="127">
        <v>0</v>
      </c>
      <c r="E474" s="127">
        <v>0</v>
      </c>
      <c r="F474" s="127">
        <v>0</v>
      </c>
      <c r="G474" s="127">
        <v>0</v>
      </c>
      <c r="H474" s="127">
        <v>0</v>
      </c>
    </row>
    <row r="475" spans="2:8">
      <c r="B475" s="152">
        <f t="shared" si="23"/>
        <v>0</v>
      </c>
      <c r="D475" s="127">
        <v>0</v>
      </c>
      <c r="E475" s="127">
        <v>0</v>
      </c>
      <c r="F475" s="127">
        <v>0</v>
      </c>
      <c r="G475" s="127">
        <v>0</v>
      </c>
      <c r="H475" s="127">
        <v>0</v>
      </c>
    </row>
    <row r="476" spans="2:8">
      <c r="B476" s="152">
        <f t="shared" si="23"/>
        <v>0</v>
      </c>
      <c r="D476" s="127">
        <v>0</v>
      </c>
      <c r="E476" s="127">
        <v>0</v>
      </c>
      <c r="F476" s="127">
        <v>0</v>
      </c>
      <c r="G476" s="127">
        <v>0</v>
      </c>
      <c r="H476" s="127">
        <v>0</v>
      </c>
    </row>
    <row r="477" spans="2:8">
      <c r="B477" s="152">
        <f t="shared" si="23"/>
        <v>0</v>
      </c>
      <c r="D477" s="127">
        <v>0</v>
      </c>
      <c r="E477" s="127">
        <v>0</v>
      </c>
      <c r="F477" s="127">
        <v>0</v>
      </c>
      <c r="G477" s="127">
        <v>0</v>
      </c>
      <c r="H477" s="127">
        <v>0</v>
      </c>
    </row>
    <row r="478" spans="2:8">
      <c r="B478" s="152">
        <f t="shared" si="23"/>
        <v>0</v>
      </c>
      <c r="D478" s="127">
        <v>0</v>
      </c>
      <c r="E478" s="127">
        <v>0</v>
      </c>
      <c r="F478" s="127">
        <v>0</v>
      </c>
      <c r="G478" s="127">
        <v>0</v>
      </c>
      <c r="H478" s="127">
        <v>0</v>
      </c>
    </row>
    <row r="479" spans="2:8">
      <c r="B479" s="152">
        <f t="shared" si="23"/>
        <v>0</v>
      </c>
      <c r="D479" s="127">
        <v>0</v>
      </c>
      <c r="E479" s="127">
        <v>0</v>
      </c>
      <c r="F479" s="127">
        <v>0</v>
      </c>
      <c r="G479" s="127">
        <v>0</v>
      </c>
      <c r="H479" s="127">
        <v>0</v>
      </c>
    </row>
    <row r="480" spans="2:8">
      <c r="B480" s="152">
        <f t="shared" si="23"/>
        <v>0</v>
      </c>
      <c r="D480" s="127">
        <v>0</v>
      </c>
      <c r="E480" s="127">
        <v>0</v>
      </c>
      <c r="F480" s="127">
        <v>0</v>
      </c>
      <c r="G480" s="127">
        <v>0</v>
      </c>
      <c r="H480" s="127">
        <v>0</v>
      </c>
    </row>
    <row r="481" spans="2:8">
      <c r="B481" s="152">
        <f t="shared" si="23"/>
        <v>0</v>
      </c>
      <c r="D481" s="127">
        <v>0</v>
      </c>
      <c r="E481" s="127">
        <v>0</v>
      </c>
      <c r="F481" s="127">
        <v>0</v>
      </c>
      <c r="G481" s="127">
        <v>0</v>
      </c>
      <c r="H481" s="127">
        <v>0</v>
      </c>
    </row>
    <row r="482" spans="2:8">
      <c r="B482" s="152">
        <f t="shared" si="23"/>
        <v>0</v>
      </c>
      <c r="D482" s="127">
        <v>0</v>
      </c>
      <c r="E482" s="127">
        <v>0</v>
      </c>
      <c r="F482" s="127">
        <v>0</v>
      </c>
      <c r="G482" s="127">
        <v>0</v>
      </c>
      <c r="H482" s="127">
        <v>0</v>
      </c>
    </row>
    <row r="483" spans="2:8">
      <c r="B483" s="152">
        <f t="shared" si="23"/>
        <v>0</v>
      </c>
      <c r="D483" s="127">
        <v>0</v>
      </c>
      <c r="E483" s="127">
        <v>0</v>
      </c>
      <c r="F483" s="127">
        <v>0</v>
      </c>
      <c r="G483" s="127">
        <v>0</v>
      </c>
      <c r="H483" s="127">
        <v>0</v>
      </c>
    </row>
    <row r="484" spans="2:8">
      <c r="B484" s="152">
        <f t="shared" si="23"/>
        <v>0</v>
      </c>
      <c r="D484" s="127">
        <v>0</v>
      </c>
      <c r="E484" s="127">
        <v>0</v>
      </c>
      <c r="F484" s="127">
        <v>0</v>
      </c>
      <c r="G484" s="127">
        <v>0</v>
      </c>
      <c r="H484" s="127">
        <v>0</v>
      </c>
    </row>
    <row r="485" spans="2:8">
      <c r="B485" s="152">
        <f t="shared" ref="B485:B519" si="24">B318</f>
        <v>0</v>
      </c>
      <c r="D485" s="127">
        <v>0</v>
      </c>
      <c r="E485" s="127">
        <v>0</v>
      </c>
      <c r="F485" s="127">
        <v>0</v>
      </c>
      <c r="G485" s="127">
        <v>0</v>
      </c>
      <c r="H485" s="127">
        <v>0</v>
      </c>
    </row>
    <row r="486" spans="2:8">
      <c r="B486" s="152">
        <f t="shared" si="24"/>
        <v>0</v>
      </c>
      <c r="D486" s="127">
        <v>0</v>
      </c>
      <c r="E486" s="127">
        <v>0</v>
      </c>
      <c r="F486" s="127">
        <v>0</v>
      </c>
      <c r="G486" s="127">
        <v>0</v>
      </c>
      <c r="H486" s="127">
        <v>0</v>
      </c>
    </row>
    <row r="487" spans="2:8">
      <c r="B487" s="152">
        <f t="shared" si="24"/>
        <v>0</v>
      </c>
      <c r="D487" s="127">
        <v>0</v>
      </c>
      <c r="E487" s="127">
        <v>0</v>
      </c>
      <c r="F487" s="127">
        <v>0</v>
      </c>
      <c r="G487" s="127">
        <v>0</v>
      </c>
      <c r="H487" s="127">
        <v>0</v>
      </c>
    </row>
    <row r="488" spans="2:8">
      <c r="B488" s="152">
        <f t="shared" si="24"/>
        <v>0</v>
      </c>
      <c r="D488" s="127">
        <v>0</v>
      </c>
      <c r="E488" s="127">
        <v>0</v>
      </c>
      <c r="F488" s="127">
        <v>0</v>
      </c>
      <c r="G488" s="127">
        <v>0</v>
      </c>
      <c r="H488" s="127">
        <v>0</v>
      </c>
    </row>
    <row r="489" spans="2:8">
      <c r="B489" s="152">
        <f t="shared" si="24"/>
        <v>0</v>
      </c>
      <c r="D489" s="127">
        <v>0</v>
      </c>
      <c r="E489" s="127">
        <v>0</v>
      </c>
      <c r="F489" s="127">
        <v>0</v>
      </c>
      <c r="G489" s="127">
        <v>0</v>
      </c>
      <c r="H489" s="127">
        <v>0</v>
      </c>
    </row>
    <row r="490" spans="2:8">
      <c r="B490" s="152">
        <f t="shared" si="24"/>
        <v>0</v>
      </c>
      <c r="D490" s="127">
        <v>0</v>
      </c>
      <c r="E490" s="127">
        <v>0</v>
      </c>
      <c r="F490" s="127">
        <v>0</v>
      </c>
      <c r="G490" s="127">
        <v>0</v>
      </c>
      <c r="H490" s="127">
        <v>0</v>
      </c>
    </row>
    <row r="491" spans="2:8">
      <c r="B491" s="152">
        <f t="shared" si="24"/>
        <v>0</v>
      </c>
      <c r="D491" s="127">
        <v>0</v>
      </c>
      <c r="E491" s="127">
        <v>0</v>
      </c>
      <c r="F491" s="127">
        <v>0</v>
      </c>
      <c r="G491" s="127">
        <v>0</v>
      </c>
      <c r="H491" s="127">
        <v>0</v>
      </c>
    </row>
    <row r="492" spans="2:8">
      <c r="B492" s="152">
        <f t="shared" si="24"/>
        <v>0</v>
      </c>
      <c r="D492" s="127">
        <v>0</v>
      </c>
      <c r="E492" s="127">
        <v>0</v>
      </c>
      <c r="F492" s="127">
        <v>0</v>
      </c>
      <c r="G492" s="127">
        <v>0</v>
      </c>
      <c r="H492" s="127">
        <v>0</v>
      </c>
    </row>
    <row r="493" spans="2:8">
      <c r="B493" s="152">
        <f t="shared" si="24"/>
        <v>0</v>
      </c>
      <c r="D493" s="127">
        <v>0</v>
      </c>
      <c r="E493" s="127">
        <v>0</v>
      </c>
      <c r="F493" s="127">
        <v>0</v>
      </c>
      <c r="G493" s="127">
        <v>0</v>
      </c>
      <c r="H493" s="127">
        <v>0</v>
      </c>
    </row>
    <row r="494" spans="2:8">
      <c r="B494" s="152">
        <f t="shared" si="24"/>
        <v>0</v>
      </c>
      <c r="D494" s="127">
        <v>0</v>
      </c>
      <c r="E494" s="127">
        <v>0</v>
      </c>
      <c r="F494" s="127">
        <v>0</v>
      </c>
      <c r="G494" s="127">
        <v>0</v>
      </c>
      <c r="H494" s="127">
        <v>0</v>
      </c>
    </row>
    <row r="495" spans="2:8">
      <c r="B495" s="152">
        <f t="shared" si="24"/>
        <v>0</v>
      </c>
      <c r="D495" s="127">
        <v>0</v>
      </c>
      <c r="E495" s="127">
        <v>0</v>
      </c>
      <c r="F495" s="127">
        <v>0</v>
      </c>
      <c r="G495" s="127">
        <v>0</v>
      </c>
      <c r="H495" s="127">
        <v>0</v>
      </c>
    </row>
    <row r="496" spans="2:8">
      <c r="B496" s="152">
        <f t="shared" si="24"/>
        <v>0</v>
      </c>
      <c r="D496" s="127">
        <v>0</v>
      </c>
      <c r="E496" s="127">
        <v>0</v>
      </c>
      <c r="F496" s="127">
        <v>0</v>
      </c>
      <c r="G496" s="127">
        <v>0</v>
      </c>
      <c r="H496" s="127">
        <v>0</v>
      </c>
    </row>
    <row r="497" spans="2:8">
      <c r="B497" s="152">
        <f t="shared" si="24"/>
        <v>0</v>
      </c>
      <c r="D497" s="127">
        <v>0</v>
      </c>
      <c r="E497" s="127">
        <v>0</v>
      </c>
      <c r="F497" s="127">
        <v>0</v>
      </c>
      <c r="G497" s="127">
        <v>0</v>
      </c>
      <c r="H497" s="127">
        <v>0</v>
      </c>
    </row>
    <row r="498" spans="2:8">
      <c r="B498" s="152">
        <f t="shared" si="24"/>
        <v>0</v>
      </c>
      <c r="D498" s="127">
        <v>0</v>
      </c>
      <c r="E498" s="127">
        <v>0</v>
      </c>
      <c r="F498" s="127">
        <v>0</v>
      </c>
      <c r="G498" s="127">
        <v>0</v>
      </c>
      <c r="H498" s="127">
        <v>0</v>
      </c>
    </row>
    <row r="499" spans="2:8">
      <c r="B499" s="152">
        <f t="shared" si="24"/>
        <v>0</v>
      </c>
      <c r="D499" s="127">
        <v>0</v>
      </c>
      <c r="E499" s="127">
        <v>0</v>
      </c>
      <c r="F499" s="127">
        <v>0</v>
      </c>
      <c r="G499" s="127">
        <v>0</v>
      </c>
      <c r="H499" s="127">
        <v>0</v>
      </c>
    </row>
    <row r="500" spans="2:8">
      <c r="B500" s="152">
        <f t="shared" si="24"/>
        <v>0</v>
      </c>
      <c r="D500" s="127">
        <v>0</v>
      </c>
      <c r="E500" s="127">
        <v>0</v>
      </c>
      <c r="F500" s="127">
        <v>0</v>
      </c>
      <c r="G500" s="127">
        <v>0</v>
      </c>
      <c r="H500" s="127">
        <v>0</v>
      </c>
    </row>
    <row r="501" spans="2:8">
      <c r="B501" s="152" t="str">
        <f t="shared" si="24"/>
        <v>Carndo Year 4 Reduction</v>
      </c>
      <c r="D501" s="127">
        <v>0</v>
      </c>
      <c r="E501" s="127">
        <v>0</v>
      </c>
      <c r="F501" s="127">
        <v>0</v>
      </c>
      <c r="G501" s="127">
        <v>0</v>
      </c>
      <c r="H501" s="127">
        <v>0</v>
      </c>
    </row>
    <row r="502" spans="2:8">
      <c r="B502" s="152" t="str">
        <f t="shared" si="24"/>
        <v>Carndo Year 5 Reduction</v>
      </c>
      <c r="D502" s="127">
        <v>0</v>
      </c>
      <c r="E502" s="127">
        <v>0</v>
      </c>
      <c r="F502" s="127">
        <v>0</v>
      </c>
      <c r="G502" s="127">
        <v>0</v>
      </c>
      <c r="H502" s="127">
        <v>0</v>
      </c>
    </row>
    <row r="503" spans="2:8">
      <c r="B503" s="152">
        <f t="shared" si="24"/>
        <v>0</v>
      </c>
      <c r="D503" s="127">
        <v>0</v>
      </c>
      <c r="E503" s="127">
        <v>0</v>
      </c>
      <c r="F503" s="127">
        <v>0</v>
      </c>
      <c r="G503" s="127">
        <v>0</v>
      </c>
      <c r="H503" s="127">
        <v>0</v>
      </c>
    </row>
    <row r="504" spans="2:8">
      <c r="B504" s="152">
        <f t="shared" si="24"/>
        <v>0</v>
      </c>
      <c r="D504" s="127">
        <v>0</v>
      </c>
      <c r="E504" s="127">
        <v>0</v>
      </c>
      <c r="F504" s="127">
        <v>0</v>
      </c>
      <c r="G504" s="127">
        <v>0</v>
      </c>
      <c r="H504" s="127">
        <v>0</v>
      </c>
    </row>
    <row r="505" spans="2:8">
      <c r="B505" s="152">
        <f t="shared" si="24"/>
        <v>0</v>
      </c>
      <c r="D505" s="127">
        <v>0</v>
      </c>
      <c r="E505" s="127">
        <v>0</v>
      </c>
      <c r="F505" s="127">
        <v>0</v>
      </c>
      <c r="G505" s="127">
        <v>0</v>
      </c>
      <c r="H505" s="127">
        <v>0</v>
      </c>
    </row>
    <row r="506" spans="2:8">
      <c r="B506" s="152">
        <f t="shared" si="24"/>
        <v>0</v>
      </c>
      <c r="D506" s="127">
        <v>0</v>
      </c>
      <c r="E506" s="127">
        <v>0</v>
      </c>
      <c r="F506" s="127">
        <v>0</v>
      </c>
      <c r="G506" s="127">
        <v>0</v>
      </c>
      <c r="H506" s="127">
        <v>0</v>
      </c>
    </row>
    <row r="507" spans="2:8">
      <c r="B507" s="152">
        <f t="shared" si="24"/>
        <v>0</v>
      </c>
      <c r="D507" s="127">
        <v>0</v>
      </c>
      <c r="E507" s="127">
        <v>0</v>
      </c>
      <c r="F507" s="127">
        <v>0</v>
      </c>
      <c r="G507" s="127">
        <v>0</v>
      </c>
      <c r="H507" s="127">
        <v>0</v>
      </c>
    </row>
    <row r="508" spans="2:8">
      <c r="B508" s="152">
        <f t="shared" si="24"/>
        <v>0</v>
      </c>
      <c r="D508" s="127">
        <v>0</v>
      </c>
      <c r="E508" s="127">
        <v>0</v>
      </c>
      <c r="F508" s="127">
        <v>0</v>
      </c>
      <c r="G508" s="127">
        <v>0</v>
      </c>
      <c r="H508" s="127">
        <v>0</v>
      </c>
    </row>
    <row r="509" spans="2:8">
      <c r="B509" s="152">
        <f t="shared" si="24"/>
        <v>0</v>
      </c>
      <c r="D509" s="127">
        <v>0</v>
      </c>
      <c r="E509" s="127">
        <v>0</v>
      </c>
      <c r="F509" s="127">
        <v>0</v>
      </c>
      <c r="G509" s="127">
        <v>0</v>
      </c>
      <c r="H509" s="127">
        <v>0</v>
      </c>
    </row>
    <row r="510" spans="2:8">
      <c r="B510" s="152">
        <f t="shared" si="24"/>
        <v>0</v>
      </c>
      <c r="D510" s="127">
        <v>0</v>
      </c>
      <c r="E510" s="127">
        <v>0</v>
      </c>
      <c r="F510" s="127">
        <v>0</v>
      </c>
      <c r="G510" s="127">
        <v>0</v>
      </c>
      <c r="H510" s="127">
        <v>0</v>
      </c>
    </row>
    <row r="511" spans="2:8">
      <c r="B511" s="152">
        <f t="shared" si="24"/>
        <v>0</v>
      </c>
      <c r="D511" s="127">
        <v>0</v>
      </c>
      <c r="E511" s="127">
        <v>0</v>
      </c>
      <c r="F511" s="127">
        <v>0</v>
      </c>
      <c r="G511" s="127">
        <v>0</v>
      </c>
      <c r="H511" s="127">
        <v>0</v>
      </c>
    </row>
    <row r="512" spans="2:8">
      <c r="B512" s="152">
        <f t="shared" si="24"/>
        <v>0</v>
      </c>
      <c r="D512" s="127">
        <v>0</v>
      </c>
      <c r="E512" s="127">
        <v>0</v>
      </c>
      <c r="F512" s="127">
        <v>0</v>
      </c>
      <c r="G512" s="127">
        <v>0</v>
      </c>
      <c r="H512" s="127">
        <v>0</v>
      </c>
    </row>
    <row r="513" spans="2:8">
      <c r="B513" s="152">
        <f t="shared" si="24"/>
        <v>0</v>
      </c>
      <c r="D513" s="127">
        <v>0</v>
      </c>
      <c r="E513" s="127">
        <v>0</v>
      </c>
      <c r="F513" s="127">
        <v>0</v>
      </c>
      <c r="G513" s="127">
        <v>0</v>
      </c>
      <c r="H513" s="127">
        <v>0</v>
      </c>
    </row>
    <row r="514" spans="2:8">
      <c r="B514" s="152">
        <f t="shared" si="24"/>
        <v>0</v>
      </c>
      <c r="D514" s="127">
        <v>0</v>
      </c>
      <c r="E514" s="127">
        <v>0</v>
      </c>
      <c r="F514" s="127">
        <v>0</v>
      </c>
      <c r="G514" s="127">
        <v>0</v>
      </c>
      <c r="H514" s="127">
        <v>0</v>
      </c>
    </row>
    <row r="515" spans="2:8">
      <c r="B515" s="152">
        <f t="shared" si="24"/>
        <v>0</v>
      </c>
      <c r="D515" s="127">
        <v>0</v>
      </c>
      <c r="E515" s="127">
        <v>0</v>
      </c>
      <c r="F515" s="127">
        <v>0</v>
      </c>
      <c r="G515" s="127">
        <v>0</v>
      </c>
      <c r="H515" s="127">
        <v>0</v>
      </c>
    </row>
    <row r="516" spans="2:8">
      <c r="B516" s="152">
        <f t="shared" si="24"/>
        <v>0</v>
      </c>
      <c r="D516" s="127">
        <v>0</v>
      </c>
      <c r="E516" s="127">
        <v>0</v>
      </c>
      <c r="F516" s="127">
        <v>0</v>
      </c>
      <c r="G516" s="127">
        <v>0</v>
      </c>
      <c r="H516" s="127">
        <v>0</v>
      </c>
    </row>
    <row r="517" spans="2:8">
      <c r="B517" s="152">
        <f t="shared" si="24"/>
        <v>0</v>
      </c>
      <c r="D517" s="127">
        <v>0</v>
      </c>
      <c r="E517" s="127">
        <v>0</v>
      </c>
      <c r="F517" s="127">
        <v>0</v>
      </c>
      <c r="G517" s="127">
        <v>0</v>
      </c>
      <c r="H517" s="127">
        <v>0</v>
      </c>
    </row>
    <row r="518" spans="2:8">
      <c r="B518" s="152">
        <f t="shared" si="24"/>
        <v>0</v>
      </c>
      <c r="D518" s="127">
        <v>0</v>
      </c>
      <c r="E518" s="127">
        <v>0</v>
      </c>
      <c r="F518" s="127">
        <v>0</v>
      </c>
      <c r="G518" s="127">
        <v>0</v>
      </c>
      <c r="H518" s="127">
        <v>0</v>
      </c>
    </row>
    <row r="519" spans="2:8">
      <c r="B519" s="152">
        <f t="shared" si="24"/>
        <v>0</v>
      </c>
      <c r="D519" s="127">
        <v>0</v>
      </c>
      <c r="E519" s="127">
        <v>0</v>
      </c>
      <c r="F519" s="127">
        <v>0</v>
      </c>
      <c r="G519" s="127">
        <v>0</v>
      </c>
      <c r="H519" s="127">
        <v>0</v>
      </c>
    </row>
    <row r="520" spans="2:8">
      <c r="B520" s="152" t="s">
        <v>52</v>
      </c>
      <c r="D520" s="48">
        <f>SUM(D356:D519)</f>
        <v>0</v>
      </c>
      <c r="E520" s="48">
        <f>SUM(E356:E519)</f>
        <v>0</v>
      </c>
      <c r="F520" s="48">
        <f>SUM(F356:F519)</f>
        <v>0</v>
      </c>
      <c r="G520" s="48">
        <f>SUM(G356:G519)</f>
        <v>0</v>
      </c>
      <c r="H520" s="48">
        <f>SUM(H356:H519)</f>
        <v>0</v>
      </c>
    </row>
    <row r="521" spans="2:8">
      <c r="B521" s="152"/>
      <c r="D521" s="70"/>
      <c r="E521" s="70"/>
      <c r="F521" s="70"/>
      <c r="G521" s="70"/>
      <c r="H521" s="70"/>
    </row>
    <row r="522" spans="2:8" ht="15.75">
      <c r="B522" s="151" t="s">
        <v>18</v>
      </c>
      <c r="D522" s="30"/>
      <c r="E522" s="30"/>
      <c r="F522" s="30"/>
      <c r="G522" s="30"/>
      <c r="H522" s="30"/>
    </row>
    <row r="523" spans="2:8">
      <c r="B523" s="152">
        <f>B356</f>
        <v>0</v>
      </c>
      <c r="D523" s="30">
        <f>IF('19. Sewer - Capex Input'!$I4=D$3,'19. Sewer - Capex Input'!$J4,0)</f>
        <v>165541.26499999998</v>
      </c>
      <c r="E523" s="30">
        <f>IF('19. Sewer - Capex Input'!$I4=E$3,'19. Sewer - Capex Input'!$J4,0)</f>
        <v>0</v>
      </c>
      <c r="F523" s="30">
        <f>IF('19. Sewer - Capex Input'!$I4=F$3,'19. Sewer - Capex Input'!$J4,0)</f>
        <v>0</v>
      </c>
      <c r="G523" s="30">
        <f>IF('19. Sewer - Capex Input'!$I4=G$3,'19. Sewer - Capex Input'!$J4,0)</f>
        <v>0</v>
      </c>
      <c r="H523" s="30">
        <f>IF('19. Sewer - Capex Input'!$I4=H$3,'19. Sewer - Capex Input'!$J4,0)</f>
        <v>0</v>
      </c>
    </row>
    <row r="524" spans="2:8">
      <c r="B524" s="152">
        <f>B357</f>
        <v>0</v>
      </c>
      <c r="D524" s="30">
        <f>IF('19. Sewer - Capex Input'!$I5=D$3,'19. Sewer - Capex Input'!$J5,0)</f>
        <v>0</v>
      </c>
      <c r="E524" s="30">
        <f>IF('19. Sewer - Capex Input'!$I5=E$3,'19. Sewer - Capex Input'!$J5,0)</f>
        <v>508985.67499999999</v>
      </c>
      <c r="F524" s="30">
        <f>IF('19. Sewer - Capex Input'!$I5=F$3,'19. Sewer - Capex Input'!$J5,0)</f>
        <v>0</v>
      </c>
      <c r="G524" s="30">
        <f>IF('19. Sewer - Capex Input'!$I5=G$3,'19. Sewer - Capex Input'!$J5,0)</f>
        <v>0</v>
      </c>
      <c r="H524" s="30">
        <f>IF('19. Sewer - Capex Input'!$I5=H$3,'19. Sewer - Capex Input'!$J5,0)</f>
        <v>0</v>
      </c>
    </row>
    <row r="525" spans="2:8">
      <c r="B525" s="152">
        <f t="shared" ref="B525:B588" si="25">B358</f>
        <v>0</v>
      </c>
      <c r="D525" s="30">
        <f>IF('19. Sewer - Capex Input'!$I6=D$3,'19. Sewer - Capex Input'!$J6,0)</f>
        <v>0</v>
      </c>
      <c r="E525" s="30">
        <f>IF('19. Sewer - Capex Input'!$I6=E$3,'19. Sewer - Capex Input'!$J6,0)</f>
        <v>0</v>
      </c>
      <c r="F525" s="30">
        <f>IF('19. Sewer - Capex Input'!$I6=F$3,'19. Sewer - Capex Input'!$J6,0)</f>
        <v>105433.5</v>
      </c>
      <c r="G525" s="30">
        <f>IF('19. Sewer - Capex Input'!$I6=G$3,'19. Sewer - Capex Input'!$J6,0)</f>
        <v>0</v>
      </c>
      <c r="H525" s="30">
        <f>IF('19. Sewer - Capex Input'!$I6=H$3,'19. Sewer - Capex Input'!$J6,0)</f>
        <v>0</v>
      </c>
    </row>
    <row r="526" spans="2:8">
      <c r="B526" s="152">
        <f t="shared" si="25"/>
        <v>0</v>
      </c>
      <c r="D526" s="30">
        <f>IF('19. Sewer - Capex Input'!$I7=D$3,'19. Sewer - Capex Input'!$J7,0)</f>
        <v>98315.540000000008</v>
      </c>
      <c r="E526" s="30">
        <f>IF('19. Sewer - Capex Input'!$I7=E$3,'19. Sewer - Capex Input'!$J7,0)</f>
        <v>0</v>
      </c>
      <c r="F526" s="30">
        <f>IF('19. Sewer - Capex Input'!$I7=F$3,'19. Sewer - Capex Input'!$J7,0)</f>
        <v>0</v>
      </c>
      <c r="G526" s="30">
        <f>IF('19. Sewer - Capex Input'!$I7=G$3,'19. Sewer - Capex Input'!$J7,0)</f>
        <v>0</v>
      </c>
      <c r="H526" s="30">
        <f>IF('19. Sewer - Capex Input'!$I7=H$3,'19. Sewer - Capex Input'!$J7,0)</f>
        <v>0</v>
      </c>
    </row>
    <row r="527" spans="2:8">
      <c r="B527" s="152">
        <f t="shared" si="25"/>
        <v>0</v>
      </c>
      <c r="D527" s="30">
        <f>IF('19. Sewer - Capex Input'!$I8=D$3,'19. Sewer - Capex Input'!$J8,0)</f>
        <v>0</v>
      </c>
      <c r="E527" s="30">
        <f>IF('19. Sewer - Capex Input'!$I8=E$3,'19. Sewer - Capex Input'!$J8,0)</f>
        <v>4229.0950000000003</v>
      </c>
      <c r="F527" s="30">
        <f>IF('19. Sewer - Capex Input'!$I8=F$3,'19. Sewer - Capex Input'!$J8,0)</f>
        <v>0</v>
      </c>
      <c r="G527" s="30">
        <f>IF('19. Sewer - Capex Input'!$I8=G$3,'19. Sewer - Capex Input'!$J8,0)</f>
        <v>0</v>
      </c>
      <c r="H527" s="30">
        <f>IF('19. Sewer - Capex Input'!$I8=H$3,'19. Sewer - Capex Input'!$J8,0)</f>
        <v>0</v>
      </c>
    </row>
    <row r="528" spans="2:8">
      <c r="B528" s="152">
        <f t="shared" si="25"/>
        <v>0</v>
      </c>
      <c r="D528" s="30">
        <f>IF('19. Sewer - Capex Input'!$I9=D$3,'19. Sewer - Capex Input'!$J9,0)</f>
        <v>273176.2</v>
      </c>
      <c r="E528" s="30">
        <f>IF('19. Sewer - Capex Input'!$I9=E$3,'19. Sewer - Capex Input'!$J9,0)</f>
        <v>0</v>
      </c>
      <c r="F528" s="30">
        <f>IF('19. Sewer - Capex Input'!$I9=F$3,'19. Sewer - Capex Input'!$J9,0)</f>
        <v>0</v>
      </c>
      <c r="G528" s="30">
        <f>IF('19. Sewer - Capex Input'!$I9=G$3,'19. Sewer - Capex Input'!$J9,0)</f>
        <v>0</v>
      </c>
      <c r="H528" s="30">
        <f>IF('19. Sewer - Capex Input'!$I9=H$3,'19. Sewer - Capex Input'!$J9,0)</f>
        <v>0</v>
      </c>
    </row>
    <row r="529" spans="2:8">
      <c r="B529" s="152">
        <f t="shared" si="25"/>
        <v>0</v>
      </c>
      <c r="D529" s="30">
        <f>IF('19. Sewer - Capex Input'!$I10=D$3,'19. Sewer - Capex Input'!$J10,0)</f>
        <v>0</v>
      </c>
      <c r="E529" s="30">
        <f>IF('19. Sewer - Capex Input'!$I10=E$3,'19. Sewer - Capex Input'!$J10,0)</f>
        <v>1836153.4933333334</v>
      </c>
      <c r="F529" s="30">
        <f>IF('19. Sewer - Capex Input'!$I10=F$3,'19. Sewer - Capex Input'!$J10,0)</f>
        <v>0</v>
      </c>
      <c r="G529" s="30">
        <f>IF('19. Sewer - Capex Input'!$I10=G$3,'19. Sewer - Capex Input'!$J10,0)</f>
        <v>0</v>
      </c>
      <c r="H529" s="30">
        <f>IF('19. Sewer - Capex Input'!$I10=H$3,'19. Sewer - Capex Input'!$J10,0)</f>
        <v>0</v>
      </c>
    </row>
    <row r="530" spans="2:8">
      <c r="B530" s="152">
        <f t="shared" si="25"/>
        <v>0</v>
      </c>
      <c r="D530" s="30">
        <f>IF('19. Sewer - Capex Input'!$I11=D$3,'19. Sewer - Capex Input'!$J11,0)</f>
        <v>0</v>
      </c>
      <c r="E530" s="30">
        <f>IF('19. Sewer - Capex Input'!$I11=E$3,'19. Sewer - Capex Input'!$J11,0)</f>
        <v>0</v>
      </c>
      <c r="F530" s="30">
        <f>IF('19. Sewer - Capex Input'!$I11=F$3,'19. Sewer - Capex Input'!$J11,0)</f>
        <v>4350000</v>
      </c>
      <c r="G530" s="30">
        <f>IF('19. Sewer - Capex Input'!$I11=G$3,'19. Sewer - Capex Input'!$J11,0)</f>
        <v>0</v>
      </c>
      <c r="H530" s="30">
        <f>IF('19. Sewer - Capex Input'!$I11=H$3,'19. Sewer - Capex Input'!$J11,0)</f>
        <v>0</v>
      </c>
    </row>
    <row r="531" spans="2:8">
      <c r="B531" s="152">
        <f t="shared" si="25"/>
        <v>0</v>
      </c>
      <c r="D531" s="30">
        <f>IF('19. Sewer - Capex Input'!$I12=D$3,'19. Sewer - Capex Input'!$J12,0)</f>
        <v>2321610.9</v>
      </c>
      <c r="E531" s="30">
        <f>IF('19. Sewer - Capex Input'!$I12=E$3,'19. Sewer - Capex Input'!$J12,0)</f>
        <v>0</v>
      </c>
      <c r="F531" s="30">
        <f>IF('19. Sewer - Capex Input'!$I12=F$3,'19. Sewer - Capex Input'!$J12,0)</f>
        <v>0</v>
      </c>
      <c r="G531" s="30">
        <f>IF('19. Sewer - Capex Input'!$I12=G$3,'19. Sewer - Capex Input'!$J12,0)</f>
        <v>0</v>
      </c>
      <c r="H531" s="30">
        <f>IF('19. Sewer - Capex Input'!$I12=H$3,'19. Sewer - Capex Input'!$J12,0)</f>
        <v>0</v>
      </c>
    </row>
    <row r="532" spans="2:8">
      <c r="B532" s="152">
        <f t="shared" si="25"/>
        <v>0</v>
      </c>
      <c r="D532" s="30">
        <f>IF('19. Sewer - Capex Input'!$I13=D$3,'19. Sewer - Capex Input'!$J13,0)</f>
        <v>0</v>
      </c>
      <c r="E532" s="30">
        <f>IF('19. Sewer - Capex Input'!$I13=E$3,'19. Sewer - Capex Input'!$J13,0)</f>
        <v>2287101.7799999998</v>
      </c>
      <c r="F532" s="30">
        <f>IF('19. Sewer - Capex Input'!$I13=F$3,'19. Sewer - Capex Input'!$J13,0)</f>
        <v>0</v>
      </c>
      <c r="G532" s="30">
        <f>IF('19. Sewer - Capex Input'!$I13=G$3,'19. Sewer - Capex Input'!$J13,0)</f>
        <v>0</v>
      </c>
      <c r="H532" s="30">
        <f>IF('19. Sewer - Capex Input'!$I13=H$3,'19. Sewer - Capex Input'!$J13,0)</f>
        <v>0</v>
      </c>
    </row>
    <row r="533" spans="2:8">
      <c r="B533" s="152">
        <f t="shared" si="25"/>
        <v>0</v>
      </c>
      <c r="D533" s="30">
        <f>IF('19. Sewer - Capex Input'!$I14=D$3,'19. Sewer - Capex Input'!$J14,0)</f>
        <v>0</v>
      </c>
      <c r="E533" s="30">
        <f>IF('19. Sewer - Capex Input'!$I14=E$3,'19. Sewer - Capex Input'!$J14,0)</f>
        <v>0</v>
      </c>
      <c r="F533" s="30">
        <f>IF('19. Sewer - Capex Input'!$I14=F$3,'19. Sewer - Capex Input'!$J14,0)</f>
        <v>5196339</v>
      </c>
      <c r="G533" s="30">
        <f>IF('19. Sewer - Capex Input'!$I14=G$3,'19. Sewer - Capex Input'!$J14,0)</f>
        <v>0</v>
      </c>
      <c r="H533" s="30">
        <f>IF('19. Sewer - Capex Input'!$I14=H$3,'19. Sewer - Capex Input'!$J14,0)</f>
        <v>0</v>
      </c>
    </row>
    <row r="534" spans="2:8">
      <c r="B534" s="152">
        <f t="shared" si="25"/>
        <v>0</v>
      </c>
      <c r="D534" s="30">
        <f>IF('19. Sewer - Capex Input'!$I15=D$3,'19. Sewer - Capex Input'!$J15,0)</f>
        <v>0</v>
      </c>
      <c r="E534" s="30">
        <f>IF('19. Sewer - Capex Input'!$I15=E$3,'19. Sewer - Capex Input'!$J15,0)</f>
        <v>0</v>
      </c>
      <c r="F534" s="30">
        <f>IF('19. Sewer - Capex Input'!$I15=F$3,'19. Sewer - Capex Input'!$J15,0)</f>
        <v>0</v>
      </c>
      <c r="G534" s="30">
        <f>IF('19. Sewer - Capex Input'!$I15=G$3,'19. Sewer - Capex Input'!$J15,0)</f>
        <v>39654411</v>
      </c>
      <c r="H534" s="30">
        <f>IF('19. Sewer - Capex Input'!$I15=H$3,'19. Sewer - Capex Input'!$J15,0)</f>
        <v>0</v>
      </c>
    </row>
    <row r="535" spans="2:8">
      <c r="B535" s="152">
        <f t="shared" si="25"/>
        <v>0</v>
      </c>
      <c r="D535" s="30">
        <f>IF('19. Sewer - Capex Input'!$I16=D$3,'19. Sewer - Capex Input'!$J16,0)</f>
        <v>0</v>
      </c>
      <c r="E535" s="30">
        <f>IF('19. Sewer - Capex Input'!$I16=E$3,'19. Sewer - Capex Input'!$J16,0)</f>
        <v>0</v>
      </c>
      <c r="F535" s="30">
        <f>IF('19. Sewer - Capex Input'!$I16=F$3,'19. Sewer - Capex Input'!$J16,0)</f>
        <v>0</v>
      </c>
      <c r="G535" s="30">
        <f>IF('19. Sewer - Capex Input'!$I16=G$3,'19. Sewer - Capex Input'!$J16,0)</f>
        <v>0</v>
      </c>
      <c r="H535" s="30">
        <f>IF('19. Sewer - Capex Input'!$I16=H$3,'19. Sewer - Capex Input'!$J16,0)</f>
        <v>13949367</v>
      </c>
    </row>
    <row r="536" spans="2:8">
      <c r="B536" s="152">
        <f t="shared" si="25"/>
        <v>0</v>
      </c>
      <c r="D536" s="30">
        <f>IF('19. Sewer - Capex Input'!$I17=D$3,'19. Sewer - Capex Input'!$J17,0)</f>
        <v>0</v>
      </c>
      <c r="E536" s="30">
        <f>IF('19. Sewer - Capex Input'!$I17=E$3,'19. Sewer - Capex Input'!$J17,0)</f>
        <v>9715392</v>
      </c>
      <c r="F536" s="30">
        <f>IF('19. Sewer - Capex Input'!$I17=F$3,'19. Sewer - Capex Input'!$J17,0)</f>
        <v>0</v>
      </c>
      <c r="G536" s="30">
        <f>IF('19. Sewer - Capex Input'!$I17=G$3,'19. Sewer - Capex Input'!$J17,0)</f>
        <v>0</v>
      </c>
      <c r="H536" s="30">
        <f>IF('19. Sewer - Capex Input'!$I17=H$3,'19. Sewer - Capex Input'!$J17,0)</f>
        <v>0</v>
      </c>
    </row>
    <row r="537" spans="2:8">
      <c r="B537" s="152">
        <f t="shared" si="25"/>
        <v>0</v>
      </c>
      <c r="D537" s="30">
        <f>IF('19. Sewer - Capex Input'!$I18=D$3,'19. Sewer - Capex Input'!$J18,0)</f>
        <v>0</v>
      </c>
      <c r="E537" s="30">
        <f>IF('19. Sewer - Capex Input'!$I18=E$3,'19. Sewer - Capex Input'!$J18,0)</f>
        <v>0</v>
      </c>
      <c r="F537" s="30">
        <f>IF('19. Sewer - Capex Input'!$I18=F$3,'19. Sewer - Capex Input'!$J18,0)</f>
        <v>9061572</v>
      </c>
      <c r="G537" s="30">
        <f>IF('19. Sewer - Capex Input'!$I18=G$3,'19. Sewer - Capex Input'!$J18,0)</f>
        <v>0</v>
      </c>
      <c r="H537" s="30">
        <f>IF('19. Sewer - Capex Input'!$I18=H$3,'19. Sewer - Capex Input'!$J18,0)</f>
        <v>0</v>
      </c>
    </row>
    <row r="538" spans="2:8">
      <c r="B538" s="152">
        <f t="shared" si="25"/>
        <v>0</v>
      </c>
      <c r="D538" s="30">
        <f>IF('19. Sewer - Capex Input'!$I19=D$3,'19. Sewer - Capex Input'!$J19,0)</f>
        <v>0</v>
      </c>
      <c r="E538" s="30">
        <f>IF('19. Sewer - Capex Input'!$I19=E$3,'19. Sewer - Capex Input'!$J19,0)</f>
        <v>0</v>
      </c>
      <c r="F538" s="30">
        <f>IF('19. Sewer - Capex Input'!$I19=F$3,'19. Sewer - Capex Input'!$J19,0)</f>
        <v>0</v>
      </c>
      <c r="G538" s="30">
        <f>IF('19. Sewer - Capex Input'!$I19=G$3,'19. Sewer - Capex Input'!$J19,0)</f>
        <v>9316492</v>
      </c>
      <c r="H538" s="30">
        <f>IF('19. Sewer - Capex Input'!$I19=H$3,'19. Sewer - Capex Input'!$J19,0)</f>
        <v>0</v>
      </c>
    </row>
    <row r="539" spans="2:8">
      <c r="B539" s="152">
        <f t="shared" si="25"/>
        <v>0</v>
      </c>
      <c r="D539" s="30">
        <f>IF('19. Sewer - Capex Input'!$I20=D$3,'19. Sewer - Capex Input'!$J20,0)</f>
        <v>0</v>
      </c>
      <c r="E539" s="30">
        <f>IF('19. Sewer - Capex Input'!$I20=E$3,'19. Sewer - Capex Input'!$J20,0)</f>
        <v>0</v>
      </c>
      <c r="F539" s="30">
        <f>IF('19. Sewer - Capex Input'!$I20=F$3,'19. Sewer - Capex Input'!$J20,0)</f>
        <v>0</v>
      </c>
      <c r="G539" s="30">
        <f>IF('19. Sewer - Capex Input'!$I20=G$3,'19. Sewer - Capex Input'!$J20,0)</f>
        <v>0</v>
      </c>
      <c r="H539" s="30">
        <f>IF('19. Sewer - Capex Input'!$I20=H$3,'19. Sewer - Capex Input'!$J20,0)</f>
        <v>9587982</v>
      </c>
    </row>
    <row r="540" spans="2:8">
      <c r="B540" s="152">
        <f t="shared" si="25"/>
        <v>0</v>
      </c>
      <c r="D540" s="30">
        <f>IF('19. Sewer - Capex Input'!$I21=D$3,'19. Sewer - Capex Input'!$J21,0)</f>
        <v>0</v>
      </c>
      <c r="E540" s="30">
        <f>IF('19. Sewer - Capex Input'!$I21=E$3,'19. Sewer - Capex Input'!$J21,0)</f>
        <v>274018.228</v>
      </c>
      <c r="F540" s="30">
        <f>IF('19. Sewer - Capex Input'!$I21=F$3,'19. Sewer - Capex Input'!$J21,0)</f>
        <v>0</v>
      </c>
      <c r="G540" s="30">
        <f>IF('19. Sewer - Capex Input'!$I21=G$3,'19. Sewer - Capex Input'!$J21,0)</f>
        <v>0</v>
      </c>
      <c r="H540" s="30">
        <f>IF('19. Sewer - Capex Input'!$I21=H$3,'19. Sewer - Capex Input'!$J21,0)</f>
        <v>0</v>
      </c>
    </row>
    <row r="541" spans="2:8">
      <c r="B541" s="152">
        <f t="shared" si="25"/>
        <v>0</v>
      </c>
      <c r="D541" s="30">
        <f>IF('19. Sewer - Capex Input'!$I22=D$3,'19. Sewer - Capex Input'!$J22,0)</f>
        <v>0</v>
      </c>
      <c r="E541" s="30">
        <f>IF('19. Sewer - Capex Input'!$I22=E$3,'19. Sewer - Capex Input'!$J22,0)</f>
        <v>0</v>
      </c>
      <c r="F541" s="30">
        <f>IF('19. Sewer - Capex Input'!$I22=F$3,'19. Sewer - Capex Input'!$J22,0)</f>
        <v>8232432</v>
      </c>
      <c r="G541" s="30">
        <f>IF('19. Sewer - Capex Input'!$I22=G$3,'19. Sewer - Capex Input'!$J22,0)</f>
        <v>0</v>
      </c>
      <c r="H541" s="30">
        <f>IF('19. Sewer - Capex Input'!$I22=H$3,'19. Sewer - Capex Input'!$J22,0)</f>
        <v>0</v>
      </c>
    </row>
    <row r="542" spans="2:8">
      <c r="B542" s="152">
        <f t="shared" si="25"/>
        <v>0</v>
      </c>
      <c r="D542" s="30">
        <f>IF('19. Sewer - Capex Input'!$I23=D$3,'19. Sewer - Capex Input'!$J23,0)</f>
        <v>0</v>
      </c>
      <c r="E542" s="30">
        <f>IF('19. Sewer - Capex Input'!$I23=E$3,'19. Sewer - Capex Input'!$J23,0)</f>
        <v>0</v>
      </c>
      <c r="F542" s="30">
        <f>IF('19. Sewer - Capex Input'!$I23=F$3,'19. Sewer - Capex Input'!$J23,0)</f>
        <v>0</v>
      </c>
      <c r="G542" s="30">
        <f>IF('19. Sewer - Capex Input'!$I23=G$3,'19. Sewer - Capex Input'!$J23,0)</f>
        <v>11666751</v>
      </c>
      <c r="H542" s="30">
        <f>IF('19. Sewer - Capex Input'!$I23=H$3,'19. Sewer - Capex Input'!$J23,0)</f>
        <v>0</v>
      </c>
    </row>
    <row r="543" spans="2:8">
      <c r="B543" s="152">
        <f t="shared" si="25"/>
        <v>0</v>
      </c>
      <c r="D543" s="30">
        <f>IF('19. Sewer - Capex Input'!$I24=D$3,'19. Sewer - Capex Input'!$J24,0)</f>
        <v>0</v>
      </c>
      <c r="E543" s="30">
        <f>IF('19. Sewer - Capex Input'!$I24=E$3,'19. Sewer - Capex Input'!$J24,0)</f>
        <v>0</v>
      </c>
      <c r="F543" s="30">
        <f>IF('19. Sewer - Capex Input'!$I24=F$3,'19. Sewer - Capex Input'!$J24,0)</f>
        <v>0</v>
      </c>
      <c r="G543" s="30">
        <f>IF('19. Sewer - Capex Input'!$I24=G$3,'19. Sewer - Capex Input'!$J24,0)</f>
        <v>0</v>
      </c>
      <c r="H543" s="30">
        <f>IF('19. Sewer - Capex Input'!$I24=H$3,'19. Sewer - Capex Input'!$J24,0)</f>
        <v>4135333</v>
      </c>
    </row>
    <row r="544" spans="2:8">
      <c r="B544" s="152">
        <f t="shared" si="25"/>
        <v>0</v>
      </c>
      <c r="D544" s="30">
        <f>IF('19. Sewer - Capex Input'!$I25=D$3,'19. Sewer - Capex Input'!$J25,0)</f>
        <v>0</v>
      </c>
      <c r="E544" s="30">
        <f>IF('19. Sewer - Capex Input'!$I25=E$3,'19. Sewer - Capex Input'!$J25,0)</f>
        <v>4300000</v>
      </c>
      <c r="F544" s="30">
        <f>IF('19. Sewer - Capex Input'!$I25=F$3,'19. Sewer - Capex Input'!$J25,0)</f>
        <v>0</v>
      </c>
      <c r="G544" s="30">
        <f>IF('19. Sewer - Capex Input'!$I25=G$3,'19. Sewer - Capex Input'!$J25,0)</f>
        <v>0</v>
      </c>
      <c r="H544" s="30">
        <f>IF('19. Sewer - Capex Input'!$I25=H$3,'19. Sewer - Capex Input'!$J25,0)</f>
        <v>0</v>
      </c>
    </row>
    <row r="545" spans="2:8">
      <c r="B545" s="152">
        <f t="shared" si="25"/>
        <v>0</v>
      </c>
      <c r="D545" s="30">
        <f>IF('19. Sewer - Capex Input'!$I26=D$3,'19. Sewer - Capex Input'!$J26,0)</f>
        <v>0</v>
      </c>
      <c r="E545" s="30">
        <f>IF('19. Sewer - Capex Input'!$I26=E$3,'19. Sewer - Capex Input'!$J26,0)</f>
        <v>0</v>
      </c>
      <c r="F545" s="30">
        <f>IF('19. Sewer - Capex Input'!$I26=F$3,'19. Sewer - Capex Input'!$J26,0)</f>
        <v>18200000</v>
      </c>
      <c r="G545" s="30">
        <f>IF('19. Sewer - Capex Input'!$I26=G$3,'19. Sewer - Capex Input'!$J26,0)</f>
        <v>0</v>
      </c>
      <c r="H545" s="30">
        <f>IF('19. Sewer - Capex Input'!$I26=H$3,'19. Sewer - Capex Input'!$J26,0)</f>
        <v>0</v>
      </c>
    </row>
    <row r="546" spans="2:8">
      <c r="B546" s="152">
        <f t="shared" si="25"/>
        <v>0</v>
      </c>
      <c r="D546" s="30">
        <f>IF('19. Sewer - Capex Input'!$I27=D$3,'19. Sewer - Capex Input'!$J27,0)</f>
        <v>0</v>
      </c>
      <c r="E546" s="30">
        <f>IF('19. Sewer - Capex Input'!$I27=E$3,'19. Sewer - Capex Input'!$J27,0)</f>
        <v>0</v>
      </c>
      <c r="F546" s="30">
        <f>IF('19. Sewer - Capex Input'!$I27=F$3,'19. Sewer - Capex Input'!$J27,0)</f>
        <v>540126</v>
      </c>
      <c r="G546" s="30">
        <f>IF('19. Sewer - Capex Input'!$I27=G$3,'19. Sewer - Capex Input'!$J27,0)</f>
        <v>0</v>
      </c>
      <c r="H546" s="30">
        <f>IF('19. Sewer - Capex Input'!$I27=H$3,'19. Sewer - Capex Input'!$J27,0)</f>
        <v>0</v>
      </c>
    </row>
    <row r="547" spans="2:8">
      <c r="B547" s="152">
        <f t="shared" si="25"/>
        <v>0</v>
      </c>
      <c r="D547" s="30">
        <f>IF('19. Sewer - Capex Input'!$I28=D$3,'19. Sewer - Capex Input'!$J28,0)</f>
        <v>0</v>
      </c>
      <c r="E547" s="30">
        <f>IF('19. Sewer - Capex Input'!$I28=E$3,'19. Sewer - Capex Input'!$J28,0)</f>
        <v>0</v>
      </c>
      <c r="F547" s="30">
        <f>IF('19. Sewer - Capex Input'!$I28=F$3,'19. Sewer - Capex Input'!$J28,0)</f>
        <v>0</v>
      </c>
      <c r="G547" s="30">
        <f>IF('19. Sewer - Capex Input'!$I28=G$3,'19. Sewer - Capex Input'!$J28,0)</f>
        <v>7792359</v>
      </c>
      <c r="H547" s="30">
        <f>IF('19. Sewer - Capex Input'!$I28=H$3,'19. Sewer - Capex Input'!$J28,0)</f>
        <v>0</v>
      </c>
    </row>
    <row r="548" spans="2:8">
      <c r="B548" s="152">
        <f t="shared" si="25"/>
        <v>0</v>
      </c>
      <c r="D548" s="30">
        <f>IF('19. Sewer - Capex Input'!$I29=D$3,'19. Sewer - Capex Input'!$J29,0)</f>
        <v>0</v>
      </c>
      <c r="E548" s="30">
        <f>IF('19. Sewer - Capex Input'!$I29=E$3,'19. Sewer - Capex Input'!$J29,0)</f>
        <v>0</v>
      </c>
      <c r="F548" s="30">
        <f>IF('19. Sewer - Capex Input'!$I29=F$3,'19. Sewer - Capex Input'!$J29,0)</f>
        <v>0</v>
      </c>
      <c r="G548" s="30">
        <f>IF('19. Sewer - Capex Input'!$I29=G$3,'19. Sewer - Capex Input'!$J29,0)</f>
        <v>0</v>
      </c>
      <c r="H548" s="30">
        <f>IF('19. Sewer - Capex Input'!$I29=H$3,'19. Sewer - Capex Input'!$J29,0)</f>
        <v>11430071</v>
      </c>
    </row>
    <row r="549" spans="2:8">
      <c r="B549" s="152">
        <f t="shared" si="25"/>
        <v>0</v>
      </c>
      <c r="D549" s="30">
        <f>IF('19. Sewer - Capex Input'!$I30=D$3,'19. Sewer - Capex Input'!$J30,0)</f>
        <v>0</v>
      </c>
      <c r="E549" s="30">
        <f>IF('19. Sewer - Capex Input'!$I30=E$3,'19. Sewer - Capex Input'!$J30,0)</f>
        <v>0</v>
      </c>
      <c r="F549" s="30">
        <f>IF('19. Sewer - Capex Input'!$I30=F$3,'19. Sewer - Capex Input'!$J30,0)</f>
        <v>1043694</v>
      </c>
      <c r="G549" s="30">
        <f>IF('19. Sewer - Capex Input'!$I30=G$3,'19. Sewer - Capex Input'!$J30,0)</f>
        <v>0</v>
      </c>
      <c r="H549" s="30">
        <f>IF('19. Sewer - Capex Input'!$I30=H$3,'19. Sewer - Capex Input'!$J30,0)</f>
        <v>0</v>
      </c>
    </row>
    <row r="550" spans="2:8">
      <c r="B550" s="152">
        <f t="shared" si="25"/>
        <v>0</v>
      </c>
      <c r="D550" s="30">
        <f>IF('19. Sewer - Capex Input'!$I31=D$3,'19. Sewer - Capex Input'!$J31,0)</f>
        <v>0</v>
      </c>
      <c r="E550" s="30">
        <f>IF('19. Sewer - Capex Input'!$I31=E$3,'19. Sewer - Capex Input'!$J31,0)</f>
        <v>0</v>
      </c>
      <c r="F550" s="30">
        <f>IF('19. Sewer - Capex Input'!$I31=F$3,'19. Sewer - Capex Input'!$J31,0)</f>
        <v>0</v>
      </c>
      <c r="G550" s="30">
        <f>IF('19. Sewer - Capex Input'!$I31=G$3,'19. Sewer - Capex Input'!$J31,0)</f>
        <v>5354284</v>
      </c>
      <c r="H550" s="30">
        <f>IF('19. Sewer - Capex Input'!$I31=H$3,'19. Sewer - Capex Input'!$J31,0)</f>
        <v>0</v>
      </c>
    </row>
    <row r="551" spans="2:8">
      <c r="B551" s="152">
        <f t="shared" si="25"/>
        <v>0</v>
      </c>
      <c r="D551" s="30">
        <f>IF('19. Sewer - Capex Input'!$I32=D$3,'19. Sewer - Capex Input'!$J32,0)</f>
        <v>0</v>
      </c>
      <c r="E551" s="30">
        <f>IF('19. Sewer - Capex Input'!$I32=E$3,'19. Sewer - Capex Input'!$J32,0)</f>
        <v>0</v>
      </c>
      <c r="F551" s="30">
        <f>IF('19. Sewer - Capex Input'!$I32=F$3,'19. Sewer - Capex Input'!$J32,0)</f>
        <v>0</v>
      </c>
      <c r="G551" s="30">
        <f>IF('19. Sewer - Capex Input'!$I32=G$3,'19. Sewer - Capex Input'!$J32,0)</f>
        <v>0</v>
      </c>
      <c r="H551" s="30">
        <f>IF('19. Sewer - Capex Input'!$I32=H$3,'19. Sewer - Capex Input'!$J32,0)</f>
        <v>10802524</v>
      </c>
    </row>
    <row r="552" spans="2:8">
      <c r="B552" s="152">
        <f t="shared" si="25"/>
        <v>0</v>
      </c>
      <c r="D552" s="30">
        <f>IF('19. Sewer - Capex Input'!$I33=D$3,'19. Sewer - Capex Input'!$J33,0)</f>
        <v>0</v>
      </c>
      <c r="E552" s="30">
        <f>IF('19. Sewer - Capex Input'!$I33=E$3,'19. Sewer - Capex Input'!$J33,0)</f>
        <v>0</v>
      </c>
      <c r="F552" s="30">
        <f>IF('19. Sewer - Capex Input'!$I33=F$3,'19. Sewer - Capex Input'!$J33,0)</f>
        <v>2087387.4484227216</v>
      </c>
      <c r="G552" s="30">
        <f>IF('19. Sewer - Capex Input'!$I33=G$3,'19. Sewer - Capex Input'!$J33,0)</f>
        <v>0</v>
      </c>
      <c r="H552" s="30">
        <f>IF('19. Sewer - Capex Input'!$I33=H$3,'19. Sewer - Capex Input'!$J33,0)</f>
        <v>0</v>
      </c>
    </row>
    <row r="553" spans="2:8">
      <c r="B553" s="152">
        <f t="shared" si="25"/>
        <v>0</v>
      </c>
      <c r="D553" s="30">
        <f>IF('19. Sewer - Capex Input'!$I34=D$3,'19. Sewer - Capex Input'!$J34,0)</f>
        <v>0</v>
      </c>
      <c r="E553" s="30">
        <f>IF('19. Sewer - Capex Input'!$I34=E$3,'19. Sewer - Capex Input'!$J34,0)</f>
        <v>0</v>
      </c>
      <c r="F553" s="30">
        <f>IF('19. Sewer - Capex Input'!$I34=F$3,'19. Sewer - Capex Input'!$J34,0)</f>
        <v>0</v>
      </c>
      <c r="G553" s="30">
        <f>IF('19. Sewer - Capex Input'!$I34=G$3,'19. Sewer - Capex Input'!$J34,0)</f>
        <v>5354283.6755518988</v>
      </c>
      <c r="H553" s="30">
        <f>IF('19. Sewer - Capex Input'!$I34=H$3,'19. Sewer - Capex Input'!$J34,0)</f>
        <v>0</v>
      </c>
    </row>
    <row r="554" spans="2:8">
      <c r="B554" s="152">
        <f t="shared" si="25"/>
        <v>0</v>
      </c>
      <c r="D554" s="30">
        <f>IF('19. Sewer - Capex Input'!$I35=D$3,'19. Sewer - Capex Input'!$J35,0)</f>
        <v>0</v>
      </c>
      <c r="E554" s="30">
        <f>IF('19. Sewer - Capex Input'!$I35=E$3,'19. Sewer - Capex Input'!$J35,0)</f>
        <v>0</v>
      </c>
      <c r="F554" s="30">
        <f>IF('19. Sewer - Capex Input'!$I35=F$3,'19. Sewer - Capex Input'!$J35,0)</f>
        <v>0</v>
      </c>
      <c r="G554" s="30">
        <f>IF('19. Sewer - Capex Input'!$I35=G$3,'19. Sewer - Capex Input'!$J35,0)</f>
        <v>0</v>
      </c>
      <c r="H554" s="30">
        <f>IF('19. Sewer - Capex Input'!$I35=H$3,'19. Sewer - Capex Input'!$J35,0)</f>
        <v>9678179.62131216</v>
      </c>
    </row>
    <row r="555" spans="2:8">
      <c r="B555" s="152">
        <f t="shared" si="25"/>
        <v>0</v>
      </c>
      <c r="D555" s="30">
        <f>IF('19. Sewer - Capex Input'!$I36=D$3,'19. Sewer - Capex Input'!$J36,0)</f>
        <v>0</v>
      </c>
      <c r="E555" s="30">
        <f>IF('19. Sewer - Capex Input'!$I36=E$3,'19. Sewer - Capex Input'!$J36,0)</f>
        <v>0</v>
      </c>
      <c r="F555" s="30">
        <f>IF('19. Sewer - Capex Input'!$I36=F$3,'19. Sewer - Capex Input'!$J36,0)</f>
        <v>1080252</v>
      </c>
      <c r="G555" s="30">
        <f>IF('19. Sewer - Capex Input'!$I36=G$3,'19. Sewer - Capex Input'!$J36,0)</f>
        <v>0</v>
      </c>
      <c r="H555" s="30">
        <f>IF('19. Sewer - Capex Input'!$I36=H$3,'19. Sewer - Capex Input'!$J36,0)</f>
        <v>0</v>
      </c>
    </row>
    <row r="556" spans="2:8">
      <c r="B556" s="152">
        <f t="shared" si="25"/>
        <v>0</v>
      </c>
      <c r="D556" s="30">
        <f>IF('19. Sewer - Capex Input'!$I37=D$3,'19. Sewer - Capex Input'!$J37,0)</f>
        <v>0</v>
      </c>
      <c r="E556" s="30">
        <f>IF('19. Sewer - Capex Input'!$I37=E$3,'19. Sewer - Capex Input'!$J37,0)</f>
        <v>0</v>
      </c>
      <c r="F556" s="30">
        <f>IF('19. Sewer - Capex Input'!$I37=F$3,'19. Sewer - Capex Input'!$J37,0)</f>
        <v>0</v>
      </c>
      <c r="G556" s="30">
        <f>IF('19. Sewer - Capex Input'!$I37=G$3,'19. Sewer - Capex Input'!$J37,0)</f>
        <v>7774495</v>
      </c>
      <c r="H556" s="30">
        <f>IF('19. Sewer - Capex Input'!$I37=H$3,'19. Sewer - Capex Input'!$J37,0)</f>
        <v>0</v>
      </c>
    </row>
    <row r="557" spans="2:8">
      <c r="B557" s="152">
        <f t="shared" si="25"/>
        <v>0</v>
      </c>
      <c r="D557" s="30">
        <f>IF('19. Sewer - Capex Input'!$I38=D$3,'19. Sewer - Capex Input'!$J38,0)</f>
        <v>0</v>
      </c>
      <c r="E557" s="30">
        <f>IF('19. Sewer - Capex Input'!$I38=E$3,'19. Sewer - Capex Input'!$J38,0)</f>
        <v>0</v>
      </c>
      <c r="F557" s="30">
        <f>IF('19. Sewer - Capex Input'!$I38=F$3,'19. Sewer - Capex Input'!$J38,0)</f>
        <v>0</v>
      </c>
      <c r="G557" s="30">
        <f>IF('19. Sewer - Capex Input'!$I38=G$3,'19. Sewer - Capex Input'!$J38,0)</f>
        <v>0</v>
      </c>
      <c r="H557" s="30">
        <f>IF('19. Sewer - Capex Input'!$I38=H$3,'19. Sewer - Capex Input'!$J38,0)</f>
        <v>4695187</v>
      </c>
    </row>
    <row r="558" spans="2:8">
      <c r="B558" s="152">
        <f t="shared" si="25"/>
        <v>0</v>
      </c>
      <c r="D558" s="30">
        <f>IF('19. Sewer - Capex Input'!$I39=D$3,'19. Sewer - Capex Input'!$J39,0)</f>
        <v>0</v>
      </c>
      <c r="E558" s="30">
        <f>IF('19. Sewer - Capex Input'!$I39=E$3,'19. Sewer - Capex Input'!$J39,0)</f>
        <v>0</v>
      </c>
      <c r="F558" s="30">
        <f>IF('19. Sewer - Capex Input'!$I39=F$3,'19. Sewer - Capex Input'!$J39,0)</f>
        <v>756177</v>
      </c>
      <c r="G558" s="30">
        <f>IF('19. Sewer - Capex Input'!$I39=G$3,'19. Sewer - Capex Input'!$J39,0)</f>
        <v>0</v>
      </c>
      <c r="H558" s="30">
        <f>IF('19. Sewer - Capex Input'!$I39=H$3,'19. Sewer - Capex Input'!$J39,0)</f>
        <v>0</v>
      </c>
    </row>
    <row r="559" spans="2:8">
      <c r="B559" s="152">
        <f t="shared" si="25"/>
        <v>0</v>
      </c>
      <c r="D559" s="30">
        <f>IF('19. Sewer - Capex Input'!$I40=D$3,'19. Sewer - Capex Input'!$J40,0)</f>
        <v>0</v>
      </c>
      <c r="E559" s="30">
        <f>IF('19. Sewer - Capex Input'!$I40=E$3,'19. Sewer - Capex Input'!$J40,0)</f>
        <v>0</v>
      </c>
      <c r="F559" s="30">
        <f>IF('19. Sewer - Capex Input'!$I40=F$3,'19. Sewer - Capex Input'!$J40,0)</f>
        <v>0</v>
      </c>
      <c r="G559" s="30">
        <f>IF('19. Sewer - Capex Input'!$I40=G$3,'19. Sewer - Capex Input'!$J40,0)</f>
        <v>5745563</v>
      </c>
      <c r="H559" s="30">
        <f>IF('19. Sewer - Capex Input'!$I40=H$3,'19. Sewer - Capex Input'!$J40,0)</f>
        <v>0</v>
      </c>
    </row>
    <row r="560" spans="2:8">
      <c r="B560" s="152">
        <f t="shared" si="25"/>
        <v>0</v>
      </c>
      <c r="D560" s="30">
        <f>IF('19. Sewer - Capex Input'!$I41=D$3,'19. Sewer - Capex Input'!$J41,0)</f>
        <v>0</v>
      </c>
      <c r="E560" s="30">
        <f>IF('19. Sewer - Capex Input'!$I41=E$3,'19. Sewer - Capex Input'!$J41,0)</f>
        <v>0</v>
      </c>
      <c r="F560" s="30">
        <f>IF('19. Sewer - Capex Input'!$I41=F$3,'19. Sewer - Capex Input'!$J41,0)</f>
        <v>0</v>
      </c>
      <c r="G560" s="30">
        <f>IF('19. Sewer - Capex Input'!$I41=G$3,'19. Sewer - Capex Input'!$J41,0)</f>
        <v>0</v>
      </c>
      <c r="H560" s="30">
        <f>IF('19. Sewer - Capex Input'!$I41=H$3,'19. Sewer - Capex Input'!$J41,0)</f>
        <v>4918893</v>
      </c>
    </row>
    <row r="561" spans="2:8">
      <c r="B561" s="152">
        <f t="shared" si="25"/>
        <v>0</v>
      </c>
      <c r="D561" s="30">
        <f>IF('19. Sewer - Capex Input'!$I42=D$3,'19. Sewer - Capex Input'!$J42,0)</f>
        <v>0</v>
      </c>
      <c r="E561" s="30">
        <f>IF('19. Sewer - Capex Input'!$I42=E$3,'19. Sewer - Capex Input'!$J42,0)</f>
        <v>947069</v>
      </c>
      <c r="F561" s="30">
        <f>IF('19. Sewer - Capex Input'!$I42=F$3,'19. Sewer - Capex Input'!$J42,0)</f>
        <v>0</v>
      </c>
      <c r="G561" s="30">
        <f>IF('19. Sewer - Capex Input'!$I42=G$3,'19. Sewer - Capex Input'!$J42,0)</f>
        <v>0</v>
      </c>
      <c r="H561" s="30">
        <f>IF('19. Sewer - Capex Input'!$I42=H$3,'19. Sewer - Capex Input'!$J42,0)</f>
        <v>0</v>
      </c>
    </row>
    <row r="562" spans="2:8">
      <c r="B562" s="152">
        <f t="shared" si="25"/>
        <v>0</v>
      </c>
      <c r="D562" s="30">
        <f>IF('19. Sewer - Capex Input'!$I43=D$3,'19. Sewer - Capex Input'!$J43,0)</f>
        <v>0</v>
      </c>
      <c r="E562" s="30">
        <f>IF('19. Sewer - Capex Input'!$I43=E$3,'19. Sewer - Capex Input'!$J43,0)</f>
        <v>0</v>
      </c>
      <c r="F562" s="30">
        <f>IF('19. Sewer - Capex Input'!$I43=F$3,'19. Sewer - Capex Input'!$J43,0)</f>
        <v>1476453</v>
      </c>
      <c r="G562" s="30">
        <f>IF('19. Sewer - Capex Input'!$I43=G$3,'19. Sewer - Capex Input'!$J43,0)</f>
        <v>0</v>
      </c>
      <c r="H562" s="30">
        <f>IF('19. Sewer - Capex Input'!$I43=H$3,'19. Sewer - Capex Input'!$J43,0)</f>
        <v>0</v>
      </c>
    </row>
    <row r="563" spans="2:8">
      <c r="B563" s="152">
        <f t="shared" si="25"/>
        <v>0</v>
      </c>
      <c r="D563" s="30">
        <f>IF('19. Sewer - Capex Input'!$I44=D$3,'19. Sewer - Capex Input'!$J44,0)</f>
        <v>0</v>
      </c>
      <c r="E563" s="30">
        <f>IF('19. Sewer - Capex Input'!$I44=E$3,'19. Sewer - Capex Input'!$J44,0)</f>
        <v>0</v>
      </c>
      <c r="F563" s="30">
        <f>IF('19. Sewer - Capex Input'!$I44=F$3,'19. Sewer - Capex Input'!$J44,0)</f>
        <v>0</v>
      </c>
      <c r="G563" s="30">
        <f>IF('19. Sewer - Capex Input'!$I44=G$3,'19. Sewer - Capex Input'!$J44,0)</f>
        <v>1528844</v>
      </c>
      <c r="H563" s="30">
        <f>IF('19. Sewer - Capex Input'!$I44=H$3,'19. Sewer - Capex Input'!$J44,0)</f>
        <v>0</v>
      </c>
    </row>
    <row r="564" spans="2:8">
      <c r="B564" s="152">
        <f t="shared" si="25"/>
        <v>0</v>
      </c>
      <c r="D564" s="30">
        <f>IF('19. Sewer - Capex Input'!$I45=D$3,'19. Sewer - Capex Input'!$J45,0)</f>
        <v>0</v>
      </c>
      <c r="E564" s="30">
        <f>IF('19. Sewer - Capex Input'!$I45=E$3,'19. Sewer - Capex Input'!$J45,0)</f>
        <v>0</v>
      </c>
      <c r="F564" s="30">
        <f>IF('19. Sewer - Capex Input'!$I45=F$3,'19. Sewer - Capex Input'!$J45,0)</f>
        <v>0</v>
      </c>
      <c r="G564" s="30">
        <f>IF('19. Sewer - Capex Input'!$I45=G$3,'19. Sewer - Capex Input'!$J45,0)</f>
        <v>0</v>
      </c>
      <c r="H564" s="30">
        <f>IF('19. Sewer - Capex Input'!$I45=H$3,'19. Sewer - Capex Input'!$J45,0)</f>
        <v>1143007</v>
      </c>
    </row>
    <row r="565" spans="2:8">
      <c r="B565" s="152">
        <f t="shared" si="25"/>
        <v>0</v>
      </c>
      <c r="D565" s="30">
        <f>IF('19. Sewer - Capex Input'!$I46=D$3,'19. Sewer - Capex Input'!$J46,0)</f>
        <v>0</v>
      </c>
      <c r="E565" s="30">
        <f>IF('19. Sewer - Capex Input'!$I46=E$3,'19. Sewer - Capex Input'!$J46,0)</f>
        <v>0</v>
      </c>
      <c r="F565" s="30">
        <f>IF('19. Sewer - Capex Input'!$I46=F$3,'19. Sewer - Capex Input'!$J46,0)</f>
        <v>529324</v>
      </c>
      <c r="G565" s="30">
        <f>IF('19. Sewer - Capex Input'!$I46=G$3,'19. Sewer - Capex Input'!$J46,0)</f>
        <v>0</v>
      </c>
      <c r="H565" s="30">
        <f>IF('19. Sewer - Capex Input'!$I46=H$3,'19. Sewer - Capex Input'!$J46,0)</f>
        <v>0</v>
      </c>
    </row>
    <row r="566" spans="2:8">
      <c r="B566" s="152">
        <f t="shared" si="25"/>
        <v>0</v>
      </c>
      <c r="D566" s="30">
        <f>IF('19. Sewer - Capex Input'!$I47=D$3,'19. Sewer - Capex Input'!$J47,0)</f>
        <v>0</v>
      </c>
      <c r="E566" s="30">
        <f>IF('19. Sewer - Capex Input'!$I47=E$3,'19. Sewer - Capex Input'!$J47,0)</f>
        <v>0</v>
      </c>
      <c r="F566" s="30">
        <f>IF('19. Sewer - Capex Input'!$I47=F$3,'19. Sewer - Capex Input'!$J47,0)</f>
        <v>0</v>
      </c>
      <c r="G566" s="30">
        <f>IF('19. Sewer - Capex Input'!$I47=G$3,'19. Sewer - Capex Input'!$J47,0)</f>
        <v>4164908</v>
      </c>
      <c r="H566" s="30">
        <f>IF('19. Sewer - Capex Input'!$I47=H$3,'19. Sewer - Capex Input'!$J47,0)</f>
        <v>0</v>
      </c>
    </row>
    <row r="567" spans="2:8">
      <c r="B567" s="152">
        <f t="shared" si="25"/>
        <v>0</v>
      </c>
      <c r="D567" s="30">
        <f>IF('19. Sewer - Capex Input'!$I48=D$3,'19. Sewer - Capex Input'!$J48,0)</f>
        <v>3158587.93</v>
      </c>
      <c r="E567" s="30">
        <f>IF('19. Sewer - Capex Input'!$I48=E$3,'19. Sewer - Capex Input'!$J48,0)</f>
        <v>0</v>
      </c>
      <c r="F567" s="30">
        <f>IF('19. Sewer - Capex Input'!$I48=F$3,'19. Sewer - Capex Input'!$J48,0)</f>
        <v>0</v>
      </c>
      <c r="G567" s="30">
        <f>IF('19. Sewer - Capex Input'!$I48=G$3,'19. Sewer - Capex Input'!$J48,0)</f>
        <v>0</v>
      </c>
      <c r="H567" s="30">
        <f>IF('19. Sewer - Capex Input'!$I48=H$3,'19. Sewer - Capex Input'!$J48,0)</f>
        <v>0</v>
      </c>
    </row>
    <row r="568" spans="2:8">
      <c r="B568" s="152">
        <f t="shared" si="25"/>
        <v>0</v>
      </c>
      <c r="D568" s="30">
        <f>IF('19. Sewer - Capex Input'!$I49=D$3,'19. Sewer - Capex Input'!$J49,0)</f>
        <v>0</v>
      </c>
      <c r="E568" s="30">
        <f>IF('19. Sewer - Capex Input'!$I49=E$3,'19. Sewer - Capex Input'!$J49,0)</f>
        <v>961257.66999999993</v>
      </c>
      <c r="F568" s="30">
        <f>IF('19. Sewer - Capex Input'!$I49=F$3,'19. Sewer - Capex Input'!$J49,0)</f>
        <v>0</v>
      </c>
      <c r="G568" s="30">
        <f>IF('19. Sewer - Capex Input'!$I49=G$3,'19. Sewer - Capex Input'!$J49,0)</f>
        <v>0</v>
      </c>
      <c r="H568" s="30">
        <f>IF('19. Sewer - Capex Input'!$I49=H$3,'19. Sewer - Capex Input'!$J49,0)</f>
        <v>0</v>
      </c>
    </row>
    <row r="569" spans="2:8">
      <c r="B569" s="152">
        <f t="shared" si="25"/>
        <v>0</v>
      </c>
      <c r="D569" s="30">
        <f>IF('19. Sewer - Capex Input'!$I50=D$3,'19. Sewer - Capex Input'!$J50,0)</f>
        <v>1635452.1899999997</v>
      </c>
      <c r="E569" s="30">
        <f>IF('19. Sewer - Capex Input'!$I50=E$3,'19. Sewer - Capex Input'!$J50,0)</f>
        <v>0</v>
      </c>
      <c r="F569" s="30">
        <f>IF('19. Sewer - Capex Input'!$I50=F$3,'19. Sewer - Capex Input'!$J50,0)</f>
        <v>0</v>
      </c>
      <c r="G569" s="30">
        <f>IF('19. Sewer - Capex Input'!$I50=G$3,'19. Sewer - Capex Input'!$J50,0)</f>
        <v>0</v>
      </c>
      <c r="H569" s="30">
        <f>IF('19. Sewer - Capex Input'!$I50=H$3,'19. Sewer - Capex Input'!$J50,0)</f>
        <v>0</v>
      </c>
    </row>
    <row r="570" spans="2:8">
      <c r="B570" s="152">
        <f t="shared" si="25"/>
        <v>0</v>
      </c>
      <c r="D570" s="30">
        <f>IF('19. Sewer - Capex Input'!$I51=D$3,'19. Sewer - Capex Input'!$J51,0)</f>
        <v>0</v>
      </c>
      <c r="E570" s="30">
        <f>IF('19. Sewer - Capex Input'!$I51=E$3,'19. Sewer - Capex Input'!$J51,0)</f>
        <v>2077262.39</v>
      </c>
      <c r="F570" s="30">
        <f>IF('19. Sewer - Capex Input'!$I51=F$3,'19. Sewer - Capex Input'!$J51,0)</f>
        <v>0</v>
      </c>
      <c r="G570" s="30">
        <f>IF('19. Sewer - Capex Input'!$I51=G$3,'19. Sewer - Capex Input'!$J51,0)</f>
        <v>0</v>
      </c>
      <c r="H570" s="30">
        <f>IF('19. Sewer - Capex Input'!$I51=H$3,'19. Sewer - Capex Input'!$J51,0)</f>
        <v>0</v>
      </c>
    </row>
    <row r="571" spans="2:8">
      <c r="B571" s="152">
        <f t="shared" si="25"/>
        <v>0</v>
      </c>
      <c r="D571" s="30">
        <f>IF('19. Sewer - Capex Input'!$I52=D$3,'19. Sewer - Capex Input'!$J52,0)</f>
        <v>0</v>
      </c>
      <c r="E571" s="30">
        <f>IF('19. Sewer - Capex Input'!$I52=E$3,'19. Sewer - Capex Input'!$J52,0)</f>
        <v>0</v>
      </c>
      <c r="F571" s="30">
        <f>IF('19. Sewer - Capex Input'!$I52=F$3,'19. Sewer - Capex Input'!$J52,0)</f>
        <v>100900</v>
      </c>
      <c r="G571" s="30">
        <f>IF('19. Sewer - Capex Input'!$I52=G$3,'19. Sewer - Capex Input'!$J52,0)</f>
        <v>0</v>
      </c>
      <c r="H571" s="30">
        <f>IF('19. Sewer - Capex Input'!$I52=H$3,'19. Sewer - Capex Input'!$J52,0)</f>
        <v>0</v>
      </c>
    </row>
    <row r="572" spans="2:8">
      <c r="B572" s="152">
        <f t="shared" si="25"/>
        <v>0</v>
      </c>
      <c r="D572" s="30">
        <f>IF('19. Sewer - Capex Input'!$I53=D$3,'19. Sewer - Capex Input'!$J53,0)</f>
        <v>1595289.3000000003</v>
      </c>
      <c r="E572" s="30">
        <f>IF('19. Sewer - Capex Input'!$I53=E$3,'19. Sewer - Capex Input'!$J53,0)</f>
        <v>0</v>
      </c>
      <c r="F572" s="30">
        <f>IF('19. Sewer - Capex Input'!$I53=F$3,'19. Sewer - Capex Input'!$J53,0)</f>
        <v>0</v>
      </c>
      <c r="G572" s="30">
        <f>IF('19. Sewer - Capex Input'!$I53=G$3,'19. Sewer - Capex Input'!$J53,0)</f>
        <v>0</v>
      </c>
      <c r="H572" s="30">
        <f>IF('19. Sewer - Capex Input'!$I53=H$3,'19. Sewer - Capex Input'!$J53,0)</f>
        <v>0</v>
      </c>
    </row>
    <row r="573" spans="2:8">
      <c r="B573" s="152">
        <f t="shared" si="25"/>
        <v>0</v>
      </c>
      <c r="D573" s="30">
        <f>IF('19. Sewer - Capex Input'!$I54=D$3,'19. Sewer - Capex Input'!$J54,0)</f>
        <v>0</v>
      </c>
      <c r="E573" s="30">
        <f>IF('19. Sewer - Capex Input'!$I54=E$3,'19. Sewer - Capex Input'!$J54,0)</f>
        <v>2152966.29</v>
      </c>
      <c r="F573" s="30">
        <f>IF('19. Sewer - Capex Input'!$I54=F$3,'19. Sewer - Capex Input'!$J54,0)</f>
        <v>0</v>
      </c>
      <c r="G573" s="30">
        <f>IF('19. Sewer - Capex Input'!$I54=G$3,'19. Sewer - Capex Input'!$J54,0)</f>
        <v>0</v>
      </c>
      <c r="H573" s="30">
        <f>IF('19. Sewer - Capex Input'!$I54=H$3,'19. Sewer - Capex Input'!$J54,0)</f>
        <v>0</v>
      </c>
    </row>
    <row r="574" spans="2:8">
      <c r="B574" s="152">
        <f t="shared" si="25"/>
        <v>0</v>
      </c>
      <c r="D574" s="30">
        <f>IF('19. Sewer - Capex Input'!$I55=D$3,'19. Sewer - Capex Input'!$J55,0)</f>
        <v>0</v>
      </c>
      <c r="E574" s="30">
        <f>IF('19. Sewer - Capex Input'!$I55=E$3,'19. Sewer - Capex Input'!$J55,0)</f>
        <v>0</v>
      </c>
      <c r="F574" s="30">
        <f>IF('19. Sewer - Capex Input'!$I55=F$3,'19. Sewer - Capex Input'!$J55,0)</f>
        <v>540126</v>
      </c>
      <c r="G574" s="30">
        <f>IF('19. Sewer - Capex Input'!$I55=G$3,'19. Sewer - Capex Input'!$J55,0)</f>
        <v>0</v>
      </c>
      <c r="H574" s="30">
        <f>IF('19. Sewer - Capex Input'!$I55=H$3,'19. Sewer - Capex Input'!$J55,0)</f>
        <v>0</v>
      </c>
    </row>
    <row r="575" spans="2:8">
      <c r="B575" s="152">
        <f t="shared" si="25"/>
        <v>0</v>
      </c>
      <c r="D575" s="30">
        <f>IF('19. Sewer - Capex Input'!$I56=D$3,'19. Sewer - Capex Input'!$J56,0)</f>
        <v>0</v>
      </c>
      <c r="E575" s="30">
        <f>IF('19. Sewer - Capex Input'!$I56=E$3,'19. Sewer - Capex Input'!$J56,0)</f>
        <v>0</v>
      </c>
      <c r="F575" s="30">
        <f>IF('19. Sewer - Capex Input'!$I56=F$3,'19. Sewer - Capex Input'!$J56,0)</f>
        <v>0</v>
      </c>
      <c r="G575" s="30">
        <f>IF('19. Sewer - Capex Input'!$I56=G$3,'19. Sewer - Capex Input'!$J56,0)</f>
        <v>1582665</v>
      </c>
      <c r="H575" s="30">
        <f>IF('19. Sewer - Capex Input'!$I56=H$3,'19. Sewer - Capex Input'!$J56,0)</f>
        <v>0</v>
      </c>
    </row>
    <row r="576" spans="2:8">
      <c r="B576" s="152">
        <f t="shared" si="25"/>
        <v>0</v>
      </c>
      <c r="D576" s="30">
        <f>IF('19. Sewer - Capex Input'!$I57=D$3,'19. Sewer - Capex Input'!$J57,0)</f>
        <v>0</v>
      </c>
      <c r="E576" s="30">
        <f>IF('19. Sewer - Capex Input'!$I57=E$3,'19. Sewer - Capex Input'!$J57,0)</f>
        <v>0</v>
      </c>
      <c r="F576" s="30">
        <f>IF('19. Sewer - Capex Input'!$I57=F$3,'19. Sewer - Capex Input'!$J57,0)</f>
        <v>0</v>
      </c>
      <c r="G576" s="30">
        <f>IF('19. Sewer - Capex Input'!$I57=G$3,'19. Sewer - Capex Input'!$J57,0)</f>
        <v>0</v>
      </c>
      <c r="H576" s="30">
        <f>IF('19. Sewer - Capex Input'!$I57=H$3,'19. Sewer - Capex Input'!$J57,0)</f>
        <v>1143007</v>
      </c>
    </row>
    <row r="577" spans="2:8">
      <c r="B577" s="152">
        <f t="shared" si="25"/>
        <v>0</v>
      </c>
      <c r="D577" s="30">
        <f>IF('19. Sewer - Capex Input'!$I58=D$3,'19. Sewer - Capex Input'!$J58,0)</f>
        <v>177487.07</v>
      </c>
      <c r="E577" s="30">
        <f>IF('19. Sewer - Capex Input'!$I58=E$3,'19. Sewer - Capex Input'!$J58,0)</f>
        <v>0</v>
      </c>
      <c r="F577" s="30">
        <f>IF('19. Sewer - Capex Input'!$I58=F$3,'19. Sewer - Capex Input'!$J58,0)</f>
        <v>0</v>
      </c>
      <c r="G577" s="30">
        <f>IF('19. Sewer - Capex Input'!$I58=G$3,'19. Sewer - Capex Input'!$J58,0)</f>
        <v>0</v>
      </c>
      <c r="H577" s="30">
        <f>IF('19. Sewer - Capex Input'!$I58=H$3,'19. Sewer - Capex Input'!$J58,0)</f>
        <v>0</v>
      </c>
    </row>
    <row r="578" spans="2:8">
      <c r="B578" s="152">
        <f t="shared" si="25"/>
        <v>0</v>
      </c>
      <c r="D578" s="30">
        <f>IF('19. Sewer - Capex Input'!$I59=D$3,'19. Sewer - Capex Input'!$J59,0)</f>
        <v>0</v>
      </c>
      <c r="E578" s="30">
        <f>IF('19. Sewer - Capex Input'!$I59=E$3,'19. Sewer - Capex Input'!$J59,0)</f>
        <v>232452.76</v>
      </c>
      <c r="F578" s="30">
        <f>IF('19. Sewer - Capex Input'!$I59=F$3,'19. Sewer - Capex Input'!$J59,0)</f>
        <v>0</v>
      </c>
      <c r="G578" s="30">
        <f>IF('19. Sewer - Capex Input'!$I59=G$3,'19. Sewer - Capex Input'!$J59,0)</f>
        <v>0</v>
      </c>
      <c r="H578" s="30">
        <f>IF('19. Sewer - Capex Input'!$I59=H$3,'19. Sewer - Capex Input'!$J59,0)</f>
        <v>0</v>
      </c>
    </row>
    <row r="579" spans="2:8">
      <c r="B579" s="152">
        <f t="shared" si="25"/>
        <v>0</v>
      </c>
      <c r="D579" s="30">
        <f>IF('19. Sewer - Capex Input'!$I60=D$3,'19. Sewer - Capex Input'!$J60,0)</f>
        <v>0</v>
      </c>
      <c r="E579" s="30">
        <f>IF('19. Sewer - Capex Input'!$I60=E$3,'19. Sewer - Capex Input'!$J60,0)</f>
        <v>0</v>
      </c>
      <c r="F579" s="30">
        <f>IF('19. Sewer - Capex Input'!$I60=F$3,'19. Sewer - Capex Input'!$J60,0)</f>
        <v>2309399</v>
      </c>
      <c r="G579" s="30">
        <f>IF('19. Sewer - Capex Input'!$I60=G$3,'19. Sewer - Capex Input'!$J60,0)</f>
        <v>0</v>
      </c>
      <c r="H579" s="30">
        <f>IF('19. Sewer - Capex Input'!$I60=H$3,'19. Sewer - Capex Input'!$J60,0)</f>
        <v>0</v>
      </c>
    </row>
    <row r="580" spans="2:8">
      <c r="B580" s="152">
        <f t="shared" si="25"/>
        <v>0</v>
      </c>
      <c r="D580" s="30">
        <f>IF('19. Sewer - Capex Input'!$I61=D$3,'19. Sewer - Capex Input'!$J61,0)</f>
        <v>0</v>
      </c>
      <c r="E580" s="30">
        <f>IF('19. Sewer - Capex Input'!$I61=E$3,'19. Sewer - Capex Input'!$J61,0)</f>
        <v>0</v>
      </c>
      <c r="F580" s="30">
        <f>IF('19. Sewer - Capex Input'!$I61=F$3,'19. Sewer - Capex Input'!$J61,0)</f>
        <v>0</v>
      </c>
      <c r="G580" s="30">
        <f>IF('19. Sewer - Capex Input'!$I61=G$3,'19. Sewer - Capex Input'!$J61,0)</f>
        <v>145117</v>
      </c>
      <c r="H580" s="30">
        <f>IF('19. Sewer - Capex Input'!$I61=H$3,'19. Sewer - Capex Input'!$J61,0)</f>
        <v>0</v>
      </c>
    </row>
    <row r="581" spans="2:8">
      <c r="B581" s="152">
        <f t="shared" si="25"/>
        <v>0</v>
      </c>
      <c r="D581" s="30">
        <f>IF('19. Sewer - Capex Input'!$I62=D$3,'19. Sewer - Capex Input'!$J62,0)</f>
        <v>0</v>
      </c>
      <c r="E581" s="30">
        <f>IF('19. Sewer - Capex Input'!$I62=E$3,'19. Sewer - Capex Input'!$J62,0)</f>
        <v>0</v>
      </c>
      <c r="F581" s="30">
        <f>IF('19. Sewer - Capex Input'!$I62=F$3,'19. Sewer - Capex Input'!$J62,0)</f>
        <v>0</v>
      </c>
      <c r="G581" s="30">
        <f>IF('19. Sewer - Capex Input'!$I62=G$3,'19. Sewer - Capex Input'!$J62,0)</f>
        <v>1388303</v>
      </c>
      <c r="H581" s="30">
        <f>IF('19. Sewer - Capex Input'!$I62=H$3,'19. Sewer - Capex Input'!$J62,0)</f>
        <v>0</v>
      </c>
    </row>
    <row r="582" spans="2:8">
      <c r="B582" s="152">
        <f t="shared" si="25"/>
        <v>0</v>
      </c>
      <c r="D582" s="30">
        <f>IF('19. Sewer - Capex Input'!$I63=D$3,'19. Sewer - Capex Input'!$J63,0)</f>
        <v>0</v>
      </c>
      <c r="E582" s="30">
        <f>IF('19. Sewer - Capex Input'!$I63=E$3,'19. Sewer - Capex Input'!$J63,0)</f>
        <v>0</v>
      </c>
      <c r="F582" s="30">
        <f>IF('19. Sewer - Capex Input'!$I63=F$3,'19. Sewer - Capex Input'!$J63,0)</f>
        <v>0</v>
      </c>
      <c r="G582" s="30">
        <f>IF('19. Sewer - Capex Input'!$I63=G$3,'19. Sewer - Capex Input'!$J63,0)</f>
        <v>0</v>
      </c>
      <c r="H582" s="30">
        <f>IF('19. Sewer - Capex Input'!$I63=H$3,'19. Sewer - Capex Input'!$J63,0)</f>
        <v>1428759</v>
      </c>
    </row>
    <row r="583" spans="2:8">
      <c r="B583" s="152">
        <f t="shared" si="25"/>
        <v>0</v>
      </c>
      <c r="D583" s="30">
        <f>IF('19. Sewer - Capex Input'!$I64=D$3,'19. Sewer - Capex Input'!$J64,0)</f>
        <v>244671</v>
      </c>
      <c r="E583" s="30">
        <f>IF('19. Sewer - Capex Input'!$I64=E$3,'19. Sewer - Capex Input'!$J64,0)</f>
        <v>0</v>
      </c>
      <c r="F583" s="30">
        <f>IF('19. Sewer - Capex Input'!$I64=F$3,'19. Sewer - Capex Input'!$J64,0)</f>
        <v>0</v>
      </c>
      <c r="G583" s="30">
        <f>IF('19. Sewer - Capex Input'!$I64=G$3,'19. Sewer - Capex Input'!$J64,0)</f>
        <v>0</v>
      </c>
      <c r="H583" s="30">
        <f>IF('19. Sewer - Capex Input'!$I64=H$3,'19. Sewer - Capex Input'!$J64,0)</f>
        <v>0</v>
      </c>
    </row>
    <row r="584" spans="2:8">
      <c r="B584" s="152">
        <f t="shared" si="25"/>
        <v>0</v>
      </c>
      <c r="D584" s="30">
        <f>IF('19. Sewer - Capex Input'!$I65=D$3,'19. Sewer - Capex Input'!$J65,0)</f>
        <v>0</v>
      </c>
      <c r="E584" s="30">
        <f>IF('19. Sewer - Capex Input'!$I65=E$3,'19. Sewer - Capex Input'!$J65,0)</f>
        <v>2369776.9900000002</v>
      </c>
      <c r="F584" s="30">
        <f>IF('19. Sewer - Capex Input'!$I65=F$3,'19. Sewer - Capex Input'!$J65,0)</f>
        <v>0</v>
      </c>
      <c r="G584" s="30">
        <f>IF('19. Sewer - Capex Input'!$I65=G$3,'19. Sewer - Capex Input'!$J65,0)</f>
        <v>0</v>
      </c>
      <c r="H584" s="30">
        <f>IF('19. Sewer - Capex Input'!$I65=H$3,'19. Sewer - Capex Input'!$J65,0)</f>
        <v>0</v>
      </c>
    </row>
    <row r="585" spans="2:8">
      <c r="B585" s="152">
        <f t="shared" si="25"/>
        <v>0</v>
      </c>
      <c r="D585" s="30">
        <f>IF('19. Sewer - Capex Input'!$I66=D$3,'19. Sewer - Capex Input'!$J66,0)</f>
        <v>0</v>
      </c>
      <c r="E585" s="30">
        <f>IF('19. Sewer - Capex Input'!$I66=E$3,'19. Sewer - Capex Input'!$J66,0)</f>
        <v>0</v>
      </c>
      <c r="F585" s="30">
        <f>IF('19. Sewer - Capex Input'!$I66=F$3,'19. Sewer - Capex Input'!$J66,0)</f>
        <v>270063</v>
      </c>
      <c r="G585" s="30">
        <f>IF('19. Sewer - Capex Input'!$I66=G$3,'19. Sewer - Capex Input'!$J66,0)</f>
        <v>0</v>
      </c>
      <c r="H585" s="30">
        <f>IF('19. Sewer - Capex Input'!$I66=H$3,'19. Sewer - Capex Input'!$J66,0)</f>
        <v>0</v>
      </c>
    </row>
    <row r="586" spans="2:8">
      <c r="B586" s="152">
        <f t="shared" si="25"/>
        <v>0</v>
      </c>
      <c r="D586" s="30">
        <f>IF('19. Sewer - Capex Input'!$I67=D$3,'19. Sewer - Capex Input'!$J67,0)</f>
        <v>0</v>
      </c>
      <c r="E586" s="30">
        <f>IF('19. Sewer - Capex Input'!$I67=E$3,'19. Sewer - Capex Input'!$J67,0)</f>
        <v>0</v>
      </c>
      <c r="F586" s="30">
        <f>IF('19. Sewer - Capex Input'!$I67=F$3,'19. Sewer - Capex Input'!$J67,0)</f>
        <v>0</v>
      </c>
      <c r="G586" s="30">
        <f>IF('19. Sewer - Capex Input'!$I67=G$3,'19. Sewer - Capex Input'!$J67,0)</f>
        <v>1457718</v>
      </c>
      <c r="H586" s="30">
        <f>IF('19. Sewer - Capex Input'!$I67=H$3,'19. Sewer - Capex Input'!$J67,0)</f>
        <v>0</v>
      </c>
    </row>
    <row r="587" spans="2:8">
      <c r="B587" s="152">
        <f t="shared" si="25"/>
        <v>0</v>
      </c>
      <c r="D587" s="30">
        <f>IF('19. Sewer - Capex Input'!$I68=D$3,'19. Sewer - Capex Input'!$J68,0)</f>
        <v>0</v>
      </c>
      <c r="E587" s="30">
        <f>IF('19. Sewer - Capex Input'!$I68=E$3,'19. Sewer - Capex Input'!$J68,0)</f>
        <v>0</v>
      </c>
      <c r="F587" s="30">
        <f>IF('19. Sewer - Capex Input'!$I68=F$3,'19. Sewer - Capex Input'!$J68,0)</f>
        <v>0</v>
      </c>
      <c r="G587" s="30">
        <f>IF('19. Sewer - Capex Input'!$I68=G$3,'19. Sewer - Capex Input'!$J68,0)</f>
        <v>0</v>
      </c>
      <c r="H587" s="30">
        <f>IF('19. Sewer - Capex Input'!$I68=H$3,'19. Sewer - Capex Input'!$J68,0)</f>
        <v>714379</v>
      </c>
    </row>
    <row r="588" spans="2:8">
      <c r="B588" s="152">
        <f t="shared" si="25"/>
        <v>0</v>
      </c>
      <c r="D588" s="30">
        <f>IF('19. Sewer - Capex Input'!$I69=D$3,'19. Sewer - Capex Input'!$J69,0)</f>
        <v>410532.7</v>
      </c>
      <c r="E588" s="30">
        <f>IF('19. Sewer - Capex Input'!$I69=E$3,'19. Sewer - Capex Input'!$J69,0)</f>
        <v>0</v>
      </c>
      <c r="F588" s="30">
        <f>IF('19. Sewer - Capex Input'!$I69=F$3,'19. Sewer - Capex Input'!$J69,0)</f>
        <v>0</v>
      </c>
      <c r="G588" s="30">
        <f>IF('19. Sewer - Capex Input'!$I69=G$3,'19. Sewer - Capex Input'!$J69,0)</f>
        <v>0</v>
      </c>
      <c r="H588" s="30">
        <f>IF('19. Sewer - Capex Input'!$I69=H$3,'19. Sewer - Capex Input'!$J69,0)</f>
        <v>0</v>
      </c>
    </row>
    <row r="589" spans="2:8">
      <c r="B589" s="152">
        <f t="shared" ref="B589:B652" si="26">B422</f>
        <v>0</v>
      </c>
      <c r="D589" s="30">
        <f>IF('19. Sewer - Capex Input'!$I70=D$3,'19. Sewer - Capex Input'!$J70,0)</f>
        <v>0</v>
      </c>
      <c r="E589" s="30">
        <f>IF('19. Sewer - Capex Input'!$I70=E$3,'19. Sewer - Capex Input'!$J70,0)</f>
        <v>168700.6</v>
      </c>
      <c r="F589" s="30">
        <f>IF('19. Sewer - Capex Input'!$I70=F$3,'19. Sewer - Capex Input'!$J70,0)</f>
        <v>0</v>
      </c>
      <c r="G589" s="30">
        <f>IF('19. Sewer - Capex Input'!$I70=G$3,'19. Sewer - Capex Input'!$J70,0)</f>
        <v>0</v>
      </c>
      <c r="H589" s="30">
        <f>IF('19. Sewer - Capex Input'!$I70=H$3,'19. Sewer - Capex Input'!$J70,0)</f>
        <v>0</v>
      </c>
    </row>
    <row r="590" spans="2:8">
      <c r="B590" s="152">
        <f t="shared" si="26"/>
        <v>0</v>
      </c>
      <c r="D590" s="30">
        <f>IF('19. Sewer - Capex Input'!$I71=D$3,'19. Sewer - Capex Input'!$J71,0)</f>
        <v>0</v>
      </c>
      <c r="E590" s="30">
        <f>IF('19. Sewer - Capex Input'!$I71=E$3,'19. Sewer - Capex Input'!$J71,0)</f>
        <v>0</v>
      </c>
      <c r="F590" s="30">
        <f>IF('19. Sewer - Capex Input'!$I71=F$3,'19. Sewer - Capex Input'!$J71,0)</f>
        <v>1627108</v>
      </c>
      <c r="G590" s="30">
        <f>IF('19. Sewer - Capex Input'!$I71=G$3,'19. Sewer - Capex Input'!$J71,0)</f>
        <v>0</v>
      </c>
      <c r="H590" s="30">
        <f>IF('19. Sewer - Capex Input'!$I71=H$3,'19. Sewer - Capex Input'!$J71,0)</f>
        <v>0</v>
      </c>
    </row>
    <row r="591" spans="2:8">
      <c r="B591" s="152">
        <f t="shared" si="26"/>
        <v>0</v>
      </c>
      <c r="D591" s="30">
        <f>IF('19. Sewer - Capex Input'!$I72=D$3,'19. Sewer - Capex Input'!$J72,0)</f>
        <v>1980737.99</v>
      </c>
      <c r="E591" s="30">
        <f>IF('19. Sewer - Capex Input'!$I72=E$3,'19. Sewer - Capex Input'!$J72,0)</f>
        <v>0</v>
      </c>
      <c r="F591" s="30">
        <f>IF('19. Sewer - Capex Input'!$I72=F$3,'19. Sewer - Capex Input'!$J72,0)</f>
        <v>0</v>
      </c>
      <c r="G591" s="30">
        <f>IF('19. Sewer - Capex Input'!$I72=G$3,'19. Sewer - Capex Input'!$J72,0)</f>
        <v>0</v>
      </c>
      <c r="H591" s="30">
        <f>IF('19. Sewer - Capex Input'!$I72=H$3,'19. Sewer - Capex Input'!$J72,0)</f>
        <v>0</v>
      </c>
    </row>
    <row r="592" spans="2:8">
      <c r="B592" s="152">
        <f t="shared" si="26"/>
        <v>0</v>
      </c>
      <c r="D592" s="30">
        <f>IF('19. Sewer - Capex Input'!$I73=D$3,'19. Sewer - Capex Input'!$J73,0)</f>
        <v>0</v>
      </c>
      <c r="E592" s="30">
        <f>IF('19. Sewer - Capex Input'!$I73=E$3,'19. Sewer - Capex Input'!$J73,0)</f>
        <v>45627.62999999999</v>
      </c>
      <c r="F592" s="30">
        <f>IF('19. Sewer - Capex Input'!$I73=F$3,'19. Sewer - Capex Input'!$J73,0)</f>
        <v>0</v>
      </c>
      <c r="G592" s="30">
        <f>IF('19. Sewer - Capex Input'!$I73=G$3,'19. Sewer - Capex Input'!$J73,0)</f>
        <v>0</v>
      </c>
      <c r="H592" s="30">
        <f>IF('19. Sewer - Capex Input'!$I73=H$3,'19. Sewer - Capex Input'!$J73,0)</f>
        <v>0</v>
      </c>
    </row>
    <row r="593" spans="2:8">
      <c r="B593" s="152">
        <f t="shared" si="26"/>
        <v>0</v>
      </c>
      <c r="D593" s="30">
        <f>IF('19. Sewer - Capex Input'!$I74=D$3,'19. Sewer - Capex Input'!$J74,0)</f>
        <v>288302.26999999996</v>
      </c>
      <c r="E593" s="30">
        <f>IF('19. Sewer - Capex Input'!$I74=E$3,'19. Sewer - Capex Input'!$J74,0)</f>
        <v>0</v>
      </c>
      <c r="F593" s="30">
        <f>IF('19. Sewer - Capex Input'!$I74=F$3,'19. Sewer - Capex Input'!$J74,0)</f>
        <v>0</v>
      </c>
      <c r="G593" s="30">
        <f>IF('19. Sewer - Capex Input'!$I74=G$3,'19. Sewer - Capex Input'!$J74,0)</f>
        <v>0</v>
      </c>
      <c r="H593" s="30">
        <f>IF('19. Sewer - Capex Input'!$I74=H$3,'19. Sewer - Capex Input'!$J74,0)</f>
        <v>0</v>
      </c>
    </row>
    <row r="594" spans="2:8">
      <c r="B594" s="152">
        <f t="shared" si="26"/>
        <v>0</v>
      </c>
      <c r="D594" s="30">
        <f>IF('19. Sewer - Capex Input'!$I75=D$3,'19. Sewer - Capex Input'!$J75,0)</f>
        <v>0</v>
      </c>
      <c r="E594" s="30">
        <f>IF('19. Sewer - Capex Input'!$I75=E$3,'19. Sewer - Capex Input'!$J75,0)</f>
        <v>171159.56</v>
      </c>
      <c r="F594" s="30">
        <f>IF('19. Sewer - Capex Input'!$I75=F$3,'19. Sewer - Capex Input'!$J75,0)</f>
        <v>0</v>
      </c>
      <c r="G594" s="30">
        <f>IF('19. Sewer - Capex Input'!$I75=G$3,'19. Sewer - Capex Input'!$J75,0)</f>
        <v>0</v>
      </c>
      <c r="H594" s="30">
        <f>IF('19. Sewer - Capex Input'!$I75=H$3,'19. Sewer - Capex Input'!$J75,0)</f>
        <v>0</v>
      </c>
    </row>
    <row r="595" spans="2:8">
      <c r="B595" s="152">
        <f t="shared" si="26"/>
        <v>0</v>
      </c>
      <c r="D595" s="30">
        <f>IF('19. Sewer - Capex Input'!$I76=D$3,'19. Sewer - Capex Input'!$J76,0)</f>
        <v>0</v>
      </c>
      <c r="E595" s="30">
        <f>IF('19. Sewer - Capex Input'!$I76=E$3,'19. Sewer - Capex Input'!$J76,0)</f>
        <v>0</v>
      </c>
      <c r="F595" s="30">
        <f>IF('19. Sewer - Capex Input'!$I76=F$3,'19. Sewer - Capex Input'!$J76,0)</f>
        <v>432101</v>
      </c>
      <c r="G595" s="30">
        <f>IF('19. Sewer - Capex Input'!$I76=G$3,'19. Sewer - Capex Input'!$J76,0)</f>
        <v>0</v>
      </c>
      <c r="H595" s="30">
        <f>IF('19. Sewer - Capex Input'!$I76=H$3,'19. Sewer - Capex Input'!$J76,0)</f>
        <v>0</v>
      </c>
    </row>
    <row r="596" spans="2:8">
      <c r="B596" s="152">
        <f t="shared" si="26"/>
        <v>0</v>
      </c>
      <c r="D596" s="30">
        <f>IF('19. Sewer - Capex Input'!$I77=D$3,'19. Sewer - Capex Input'!$J77,0)</f>
        <v>0</v>
      </c>
      <c r="E596" s="30">
        <f>IF('19. Sewer - Capex Input'!$I77=E$3,'19. Sewer - Capex Input'!$J77,0)</f>
        <v>0</v>
      </c>
      <c r="F596" s="30">
        <f>IF('19. Sewer - Capex Input'!$I77=F$3,'19. Sewer - Capex Input'!$J77,0)</f>
        <v>0</v>
      </c>
      <c r="G596" s="30">
        <f>IF('19. Sewer - Capex Input'!$I77=G$3,'19. Sewer - Capex Input'!$J77,0)</f>
        <v>444257</v>
      </c>
      <c r="H596" s="30">
        <f>IF('19. Sewer - Capex Input'!$I77=H$3,'19. Sewer - Capex Input'!$J77,0)</f>
        <v>0</v>
      </c>
    </row>
    <row r="597" spans="2:8">
      <c r="B597" s="152">
        <f t="shared" si="26"/>
        <v>0</v>
      </c>
      <c r="D597" s="30">
        <f>IF('19. Sewer - Capex Input'!$I78=D$3,'19. Sewer - Capex Input'!$J78,0)</f>
        <v>0</v>
      </c>
      <c r="E597" s="30">
        <f>IF('19. Sewer - Capex Input'!$I78=E$3,'19. Sewer - Capex Input'!$J78,0)</f>
        <v>0</v>
      </c>
      <c r="F597" s="30">
        <f>IF('19. Sewer - Capex Input'!$I78=F$3,'19. Sewer - Capex Input'!$J78,0)</f>
        <v>0</v>
      </c>
      <c r="G597" s="30">
        <f>IF('19. Sewer - Capex Input'!$I78=G$3,'19. Sewer - Capex Input'!$J78,0)</f>
        <v>0</v>
      </c>
      <c r="H597" s="30">
        <f>IF('19. Sewer - Capex Input'!$I78=H$3,'19. Sewer - Capex Input'!$J78,0)</f>
        <v>457203</v>
      </c>
    </row>
    <row r="598" spans="2:8">
      <c r="B598" s="152">
        <f t="shared" si="26"/>
        <v>0</v>
      </c>
      <c r="D598" s="30">
        <f>IF('19. Sewer - Capex Input'!$I79=D$3,'19. Sewer - Capex Input'!$J79,0)</f>
        <v>0</v>
      </c>
      <c r="E598" s="30">
        <f>IF('19. Sewer - Capex Input'!$I79=E$3,'19. Sewer - Capex Input'!$J79,0)</f>
        <v>0</v>
      </c>
      <c r="F598" s="30">
        <f>IF('19. Sewer - Capex Input'!$I79=F$3,'19. Sewer - Capex Input'!$J79,0)</f>
        <v>0</v>
      </c>
      <c r="G598" s="30">
        <f>IF('19. Sewer - Capex Input'!$I79=G$3,'19. Sewer - Capex Input'!$J79,0)</f>
        <v>111064</v>
      </c>
      <c r="H598" s="30">
        <f>IF('19. Sewer - Capex Input'!$I79=H$3,'19. Sewer - Capex Input'!$J79,0)</f>
        <v>0</v>
      </c>
    </row>
    <row r="599" spans="2:8">
      <c r="B599" s="152">
        <f t="shared" si="26"/>
        <v>0</v>
      </c>
      <c r="D599" s="30">
        <f>IF('19. Sewer - Capex Input'!$I80=D$3,'19. Sewer - Capex Input'!$J80,0)</f>
        <v>0</v>
      </c>
      <c r="E599" s="30">
        <f>IF('19. Sewer - Capex Input'!$I80=E$3,'19. Sewer - Capex Input'!$J80,0)</f>
        <v>0</v>
      </c>
      <c r="F599" s="30">
        <f>IF('19. Sewer - Capex Input'!$I80=F$3,'19. Sewer - Capex Input'!$J80,0)</f>
        <v>0</v>
      </c>
      <c r="G599" s="30">
        <f>IF('19. Sewer - Capex Input'!$I80=G$3,'19. Sewer - Capex Input'!$J80,0)</f>
        <v>0</v>
      </c>
      <c r="H599" s="30">
        <f>IF('19. Sewer - Capex Input'!$I80=H$3,'19. Sewer - Capex Input'!$J80,0)</f>
        <v>942981</v>
      </c>
    </row>
    <row r="600" spans="2:8">
      <c r="B600" s="152">
        <f t="shared" si="26"/>
        <v>0</v>
      </c>
      <c r="D600" s="30">
        <f>IF('19. Sewer - Capex Input'!$I81=D$3,'19. Sewer - Capex Input'!$J81,0)</f>
        <v>0</v>
      </c>
      <c r="E600" s="30">
        <f>IF('19. Sewer - Capex Input'!$I81=E$3,'19. Sewer - Capex Input'!$J81,0)</f>
        <v>0</v>
      </c>
      <c r="F600" s="30">
        <f>IF('19. Sewer - Capex Input'!$I81=F$3,'19. Sewer - Capex Input'!$J81,0)</f>
        <v>326154.28881605028</v>
      </c>
      <c r="G600" s="30">
        <f>IF('19. Sewer - Capex Input'!$I81=G$3,'19. Sewer - Capex Input'!$J81,0)</f>
        <v>0</v>
      </c>
      <c r="H600" s="30">
        <f>IF('19. Sewer - Capex Input'!$I81=H$3,'19. Sewer - Capex Input'!$J81,0)</f>
        <v>0</v>
      </c>
    </row>
    <row r="601" spans="2:8">
      <c r="B601" s="152">
        <f t="shared" si="26"/>
        <v>0</v>
      </c>
      <c r="D601" s="30">
        <f>IF('19. Sewer - Capex Input'!$I82=D$3,'19. Sewer - Capex Input'!$J82,0)</f>
        <v>0</v>
      </c>
      <c r="E601" s="30">
        <f>IF('19. Sewer - Capex Input'!$I82=E$3,'19. Sewer - Capex Input'!$J82,0)</f>
        <v>0</v>
      </c>
      <c r="F601" s="30">
        <f>IF('19. Sewer - Capex Input'!$I82=F$3,'19. Sewer - Capex Input'!$J82,0)</f>
        <v>0</v>
      </c>
      <c r="G601" s="30">
        <f>IF('19. Sewer - Capex Input'!$I82=G$3,'19. Sewer - Capex Input'!$J82,0)</f>
        <v>334642.72972199367</v>
      </c>
      <c r="H601" s="30">
        <f>IF('19. Sewer - Capex Input'!$I82=H$3,'19. Sewer - Capex Input'!$J82,0)</f>
        <v>0</v>
      </c>
    </row>
    <row r="602" spans="2:8">
      <c r="B602" s="152">
        <f t="shared" si="26"/>
        <v>0</v>
      </c>
      <c r="D602" s="30">
        <f>IF('19. Sewer - Capex Input'!$I83=D$3,'19. Sewer - Capex Input'!$J83,0)</f>
        <v>0</v>
      </c>
      <c r="E602" s="30">
        <f>IF('19. Sewer - Capex Input'!$I83=E$3,'19. Sewer - Capex Input'!$J83,0)</f>
        <v>0</v>
      </c>
      <c r="F602" s="30">
        <f>IF('19. Sewer - Capex Input'!$I83=F$3,'19. Sewer - Capex Input'!$J83,0)</f>
        <v>0</v>
      </c>
      <c r="G602" s="30">
        <f>IF('19. Sewer - Capex Input'!$I83=G$3,'19. Sewer - Capex Input'!$J83,0)</f>
        <v>0</v>
      </c>
      <c r="H602" s="30">
        <f>IF('19. Sewer - Capex Input'!$I83=H$3,'19. Sewer - Capex Input'!$J83,0)</f>
        <v>364585.1700548681</v>
      </c>
    </row>
    <row r="603" spans="2:8">
      <c r="B603" s="152">
        <f t="shared" si="26"/>
        <v>0</v>
      </c>
      <c r="D603" s="30">
        <f>IF('19. Sewer - Capex Input'!$I84=D$3,'19. Sewer - Capex Input'!$J84,0)</f>
        <v>0</v>
      </c>
      <c r="E603" s="30">
        <f>IF('19. Sewer - Capex Input'!$I84=E$3,'19. Sewer - Capex Input'!$J84,0)</f>
        <v>0</v>
      </c>
      <c r="F603" s="30">
        <f>IF('19. Sewer - Capex Input'!$I84=F$3,'19. Sewer - Capex Input'!$J84,0)</f>
        <v>0</v>
      </c>
      <c r="G603" s="30">
        <f>IF('19. Sewer - Capex Input'!$I84=G$3,'19. Sewer - Capex Input'!$J84,0)</f>
        <v>430374</v>
      </c>
      <c r="H603" s="30">
        <f>IF('19. Sewer - Capex Input'!$I84=H$3,'19. Sewer - Capex Input'!$J84,0)</f>
        <v>0</v>
      </c>
    </row>
    <row r="604" spans="2:8">
      <c r="B604" s="152">
        <f t="shared" si="26"/>
        <v>0</v>
      </c>
      <c r="D604" s="30">
        <f>IF('19. Sewer - Capex Input'!$I85=D$3,'19. Sewer - Capex Input'!$J85,0)</f>
        <v>0</v>
      </c>
      <c r="E604" s="30">
        <f>IF('19. Sewer - Capex Input'!$I85=E$3,'19. Sewer - Capex Input'!$J85,0)</f>
        <v>0</v>
      </c>
      <c r="F604" s="30">
        <f>IF('19. Sewer - Capex Input'!$I85=F$3,'19. Sewer - Capex Input'!$J85,0)</f>
        <v>0</v>
      </c>
      <c r="G604" s="30">
        <f>IF('19. Sewer - Capex Input'!$I85=G$3,'19. Sewer - Capex Input'!$J85,0)</f>
        <v>0</v>
      </c>
      <c r="H604" s="30">
        <f>IF('19. Sewer - Capex Input'!$I85=H$3,'19. Sewer - Capex Input'!$J85,0)</f>
        <v>571504</v>
      </c>
    </row>
    <row r="605" spans="2:8">
      <c r="B605" s="152">
        <f t="shared" si="26"/>
        <v>0</v>
      </c>
      <c r="D605" s="30">
        <f>IF('19. Sewer - Capex Input'!$I86=D$3,'19. Sewer - Capex Input'!$J86,0)</f>
        <v>92978.75</v>
      </c>
      <c r="E605" s="30">
        <f>IF('19. Sewer - Capex Input'!$I86=E$3,'19. Sewer - Capex Input'!$J86,0)</f>
        <v>0</v>
      </c>
      <c r="F605" s="30">
        <f>IF('19. Sewer - Capex Input'!$I86=F$3,'19. Sewer - Capex Input'!$J86,0)</f>
        <v>0</v>
      </c>
      <c r="G605" s="30">
        <f>IF('19. Sewer - Capex Input'!$I86=G$3,'19. Sewer - Capex Input'!$J86,0)</f>
        <v>0</v>
      </c>
      <c r="H605" s="30">
        <f>IF('19. Sewer - Capex Input'!$I86=H$3,'19. Sewer - Capex Input'!$J86,0)</f>
        <v>0</v>
      </c>
    </row>
    <row r="606" spans="2:8">
      <c r="B606" s="152">
        <f t="shared" si="26"/>
        <v>0</v>
      </c>
      <c r="D606" s="30">
        <f>IF('19. Sewer - Capex Input'!$I87=D$3,'19. Sewer - Capex Input'!$J87,0)</f>
        <v>0</v>
      </c>
      <c r="E606" s="30">
        <f>IF('19. Sewer - Capex Input'!$I87=E$3,'19. Sewer - Capex Input'!$J87,0)</f>
        <v>738406.73</v>
      </c>
      <c r="F606" s="30">
        <f>IF('19. Sewer - Capex Input'!$I87=F$3,'19. Sewer - Capex Input'!$J87,0)</f>
        <v>0</v>
      </c>
      <c r="G606" s="30">
        <f>IF('19. Sewer - Capex Input'!$I87=G$3,'19. Sewer - Capex Input'!$J87,0)</f>
        <v>0</v>
      </c>
      <c r="H606" s="30">
        <f>IF('19. Sewer - Capex Input'!$I87=H$3,'19. Sewer - Capex Input'!$J87,0)</f>
        <v>0</v>
      </c>
    </row>
    <row r="607" spans="2:8">
      <c r="B607" s="152">
        <f t="shared" si="26"/>
        <v>0</v>
      </c>
      <c r="D607" s="30">
        <f>IF('19. Sewer - Capex Input'!$I88=D$3,'19. Sewer - Capex Input'!$J88,0)</f>
        <v>805386.86999999988</v>
      </c>
      <c r="E607" s="30">
        <f>IF('19. Sewer - Capex Input'!$I88=E$3,'19. Sewer - Capex Input'!$J88,0)</f>
        <v>0</v>
      </c>
      <c r="F607" s="30">
        <f>IF('19. Sewer - Capex Input'!$I88=F$3,'19. Sewer - Capex Input'!$J88,0)</f>
        <v>0</v>
      </c>
      <c r="G607" s="30">
        <f>IF('19. Sewer - Capex Input'!$I88=G$3,'19. Sewer - Capex Input'!$J88,0)</f>
        <v>0</v>
      </c>
      <c r="H607" s="30">
        <f>IF('19. Sewer - Capex Input'!$I88=H$3,'19. Sewer - Capex Input'!$J88,0)</f>
        <v>0</v>
      </c>
    </row>
    <row r="608" spans="2:8">
      <c r="B608" s="152">
        <f t="shared" si="26"/>
        <v>0</v>
      </c>
      <c r="D608" s="30">
        <f>IF('19. Sewer - Capex Input'!$I89=D$3,'19. Sewer - Capex Input'!$J89,0)</f>
        <v>0</v>
      </c>
      <c r="E608" s="30">
        <f>IF('19. Sewer - Capex Input'!$I89=E$3,'19. Sewer - Capex Input'!$J89,0)</f>
        <v>22168.769999999997</v>
      </c>
      <c r="F608" s="30">
        <f>IF('19. Sewer - Capex Input'!$I89=F$3,'19. Sewer - Capex Input'!$J89,0)</f>
        <v>0</v>
      </c>
      <c r="G608" s="30">
        <f>IF('19. Sewer - Capex Input'!$I89=G$3,'19. Sewer - Capex Input'!$J89,0)</f>
        <v>0</v>
      </c>
      <c r="H608" s="30">
        <f>IF('19. Sewer - Capex Input'!$I89=H$3,'19. Sewer - Capex Input'!$J89,0)</f>
        <v>0</v>
      </c>
    </row>
    <row r="609" spans="2:8">
      <c r="B609" s="152">
        <f t="shared" si="26"/>
        <v>0</v>
      </c>
      <c r="D609" s="30">
        <f>IF('19. Sewer - Capex Input'!$I90=D$3,'19. Sewer - Capex Input'!$J90,0)</f>
        <v>534805.83000000007</v>
      </c>
      <c r="E609" s="30">
        <f>IF('19. Sewer - Capex Input'!$I90=E$3,'19. Sewer - Capex Input'!$J90,0)</f>
        <v>0</v>
      </c>
      <c r="F609" s="30">
        <f>IF('19. Sewer - Capex Input'!$I90=F$3,'19. Sewer - Capex Input'!$J90,0)</f>
        <v>0</v>
      </c>
      <c r="G609" s="30">
        <f>IF('19. Sewer - Capex Input'!$I90=G$3,'19. Sewer - Capex Input'!$J90,0)</f>
        <v>0</v>
      </c>
      <c r="H609" s="30">
        <f>IF('19. Sewer - Capex Input'!$I90=H$3,'19. Sewer - Capex Input'!$J90,0)</f>
        <v>0</v>
      </c>
    </row>
    <row r="610" spans="2:8">
      <c r="B610" s="152">
        <f t="shared" si="26"/>
        <v>0</v>
      </c>
      <c r="D610" s="30">
        <f>IF('19. Sewer - Capex Input'!$I91=D$3,'19. Sewer - Capex Input'!$J91,0)</f>
        <v>0</v>
      </c>
      <c r="E610" s="30">
        <f>IF('19. Sewer - Capex Input'!$I91=E$3,'19. Sewer - Capex Input'!$J91,0)</f>
        <v>164445.18</v>
      </c>
      <c r="F610" s="30">
        <f>IF('19. Sewer - Capex Input'!$I91=F$3,'19. Sewer - Capex Input'!$J91,0)</f>
        <v>0</v>
      </c>
      <c r="G610" s="30">
        <f>IF('19. Sewer - Capex Input'!$I91=G$3,'19. Sewer - Capex Input'!$J91,0)</f>
        <v>0</v>
      </c>
      <c r="H610" s="30">
        <f>IF('19. Sewer - Capex Input'!$I91=H$3,'19. Sewer - Capex Input'!$J91,0)</f>
        <v>0</v>
      </c>
    </row>
    <row r="611" spans="2:8">
      <c r="B611" s="152">
        <f t="shared" si="26"/>
        <v>0</v>
      </c>
      <c r="D611" s="30">
        <f>IF('19. Sewer - Capex Input'!$I92=D$3,'19. Sewer - Capex Input'!$J92,0)</f>
        <v>0</v>
      </c>
      <c r="E611" s="30">
        <f>IF('19. Sewer - Capex Input'!$I92=E$3,'19. Sewer - Capex Input'!$J92,0)</f>
        <v>0</v>
      </c>
      <c r="F611" s="30">
        <f>IF('19. Sewer - Capex Input'!$I92=F$3,'19. Sewer - Capex Input'!$J92,0)</f>
        <v>652308.57763210055</v>
      </c>
      <c r="G611" s="30">
        <f>IF('19. Sewer - Capex Input'!$I92=G$3,'19. Sewer - Capex Input'!$J92,0)</f>
        <v>0</v>
      </c>
      <c r="H611" s="30">
        <f>IF('19. Sewer - Capex Input'!$I92=H$3,'19. Sewer - Capex Input'!$J92,0)</f>
        <v>0</v>
      </c>
    </row>
    <row r="612" spans="2:8">
      <c r="B612" s="152">
        <f t="shared" si="26"/>
        <v>0</v>
      </c>
      <c r="D612" s="30">
        <f>IF('19. Sewer - Capex Input'!$I93=D$3,'19. Sewer - Capex Input'!$J93,0)</f>
        <v>16470.710000000006</v>
      </c>
      <c r="E612" s="30">
        <f>IF('19. Sewer - Capex Input'!$I93=E$3,'19. Sewer - Capex Input'!$J93,0)</f>
        <v>0</v>
      </c>
      <c r="F612" s="30">
        <f>IF('19. Sewer - Capex Input'!$I93=F$3,'19. Sewer - Capex Input'!$J93,0)</f>
        <v>0</v>
      </c>
      <c r="G612" s="30">
        <f>IF('19. Sewer - Capex Input'!$I93=G$3,'19. Sewer - Capex Input'!$J93,0)</f>
        <v>0</v>
      </c>
      <c r="H612" s="30">
        <f>IF('19. Sewer - Capex Input'!$I93=H$3,'19. Sewer - Capex Input'!$J93,0)</f>
        <v>0</v>
      </c>
    </row>
    <row r="613" spans="2:8">
      <c r="B613" s="152">
        <f t="shared" si="26"/>
        <v>0</v>
      </c>
      <c r="D613" s="30">
        <f>IF('19. Sewer - Capex Input'!$I94=D$3,'19. Sewer - Capex Input'!$J94,0)</f>
        <v>0</v>
      </c>
      <c r="E613" s="30">
        <f>IF('19. Sewer - Capex Input'!$I94=E$3,'19. Sewer - Capex Input'!$J94,0)</f>
        <v>184298.356</v>
      </c>
      <c r="F613" s="30">
        <f>IF('19. Sewer - Capex Input'!$I94=F$3,'19. Sewer - Capex Input'!$J94,0)</f>
        <v>0</v>
      </c>
      <c r="G613" s="30">
        <f>IF('19. Sewer - Capex Input'!$I94=G$3,'19. Sewer - Capex Input'!$J94,0)</f>
        <v>0</v>
      </c>
      <c r="H613" s="30">
        <f>IF('19. Sewer - Capex Input'!$I94=H$3,'19. Sewer - Capex Input'!$J94,0)</f>
        <v>0</v>
      </c>
    </row>
    <row r="614" spans="2:8">
      <c r="B614" s="152">
        <f t="shared" si="26"/>
        <v>0</v>
      </c>
      <c r="D614" s="30">
        <f>IF('19. Sewer - Capex Input'!$I95=D$3,'19. Sewer - Capex Input'!$J95,0)</f>
        <v>0</v>
      </c>
      <c r="E614" s="30">
        <f>IF('19. Sewer - Capex Input'!$I95=E$3,'19. Sewer - Capex Input'!$J95,0)</f>
        <v>0</v>
      </c>
      <c r="F614" s="30">
        <f>IF('19. Sewer - Capex Input'!$I95=F$3,'19. Sewer - Capex Input'!$J95,0)</f>
        <v>216050</v>
      </c>
      <c r="G614" s="30">
        <f>IF('19. Sewer - Capex Input'!$I95=G$3,'19. Sewer - Capex Input'!$J95,0)</f>
        <v>0</v>
      </c>
      <c r="H614" s="30">
        <f>IF('19. Sewer - Capex Input'!$I95=H$3,'19. Sewer - Capex Input'!$J95,0)</f>
        <v>0</v>
      </c>
    </row>
    <row r="615" spans="2:8">
      <c r="B615" s="152">
        <f t="shared" si="26"/>
        <v>0</v>
      </c>
      <c r="D615" s="30">
        <f>IF('19. Sewer - Capex Input'!$I96=D$3,'19. Sewer - Capex Input'!$J96,0)</f>
        <v>156677.38000000003</v>
      </c>
      <c r="E615" s="30">
        <f>IF('19. Sewer - Capex Input'!$I96=E$3,'19. Sewer - Capex Input'!$J96,0)</f>
        <v>0</v>
      </c>
      <c r="F615" s="30">
        <f>IF('19. Sewer - Capex Input'!$I96=F$3,'19. Sewer - Capex Input'!$J96,0)</f>
        <v>0</v>
      </c>
      <c r="G615" s="30">
        <f>IF('19. Sewer - Capex Input'!$I96=G$3,'19. Sewer - Capex Input'!$J96,0)</f>
        <v>0</v>
      </c>
      <c r="H615" s="30">
        <f>IF('19. Sewer - Capex Input'!$I96=H$3,'19. Sewer - Capex Input'!$J96,0)</f>
        <v>0</v>
      </c>
    </row>
    <row r="616" spans="2:8">
      <c r="B616" s="152">
        <f t="shared" si="26"/>
        <v>0</v>
      </c>
      <c r="D616" s="30">
        <f>IF('19. Sewer - Capex Input'!$I97=D$3,'19. Sewer - Capex Input'!$J97,0)</f>
        <v>0</v>
      </c>
      <c r="E616" s="30">
        <f>IF('19. Sewer - Capex Input'!$I97=E$3,'19. Sewer - Capex Input'!$J97,0)</f>
        <v>115350.6</v>
      </c>
      <c r="F616" s="30">
        <f>IF('19. Sewer - Capex Input'!$I97=F$3,'19. Sewer - Capex Input'!$J97,0)</f>
        <v>0</v>
      </c>
      <c r="G616" s="30">
        <f>IF('19. Sewer - Capex Input'!$I97=G$3,'19. Sewer - Capex Input'!$J97,0)</f>
        <v>0</v>
      </c>
      <c r="H616" s="30">
        <f>IF('19. Sewer - Capex Input'!$I97=H$3,'19. Sewer - Capex Input'!$J97,0)</f>
        <v>0</v>
      </c>
    </row>
    <row r="617" spans="2:8">
      <c r="B617" s="152">
        <f t="shared" si="26"/>
        <v>0</v>
      </c>
      <c r="D617" s="30">
        <f>IF('19. Sewer - Capex Input'!$I98=D$3,'19. Sewer - Capex Input'!$J98,0)</f>
        <v>0</v>
      </c>
      <c r="E617" s="30">
        <f>IF('19. Sewer - Capex Input'!$I98=E$3,'19. Sewer - Capex Input'!$J98,0)</f>
        <v>0</v>
      </c>
      <c r="F617" s="30">
        <f>IF('19. Sewer - Capex Input'!$I98=F$3,'19. Sewer - Capex Input'!$J98,0)</f>
        <v>0</v>
      </c>
      <c r="G617" s="30">
        <f>IF('19. Sewer - Capex Input'!$I98=G$3,'19. Sewer - Capex Input'!$J98,0)</f>
        <v>261695</v>
      </c>
      <c r="H617" s="30">
        <f>IF('19. Sewer - Capex Input'!$I98=H$3,'19. Sewer - Capex Input'!$J98,0)</f>
        <v>0</v>
      </c>
    </row>
    <row r="618" spans="2:8">
      <c r="B618" s="152">
        <f t="shared" si="26"/>
        <v>0</v>
      </c>
      <c r="D618" s="30">
        <f>IF('19. Sewer - Capex Input'!$I99=D$3,'19. Sewer - Capex Input'!$J99,0)</f>
        <v>120959.48000000008</v>
      </c>
      <c r="E618" s="30">
        <f>IF('19. Sewer - Capex Input'!$I99=E$3,'19. Sewer - Capex Input'!$J99,0)</f>
        <v>0</v>
      </c>
      <c r="F618" s="30">
        <f>IF('19. Sewer - Capex Input'!$I99=F$3,'19. Sewer - Capex Input'!$J99,0)</f>
        <v>0</v>
      </c>
      <c r="G618" s="30">
        <f>IF('19. Sewer - Capex Input'!$I99=G$3,'19. Sewer - Capex Input'!$J99,0)</f>
        <v>0</v>
      </c>
      <c r="H618" s="30">
        <f>IF('19. Sewer - Capex Input'!$I99=H$3,'19. Sewer - Capex Input'!$J99,0)</f>
        <v>0</v>
      </c>
    </row>
    <row r="619" spans="2:8">
      <c r="B619" s="152">
        <f t="shared" si="26"/>
        <v>0</v>
      </c>
      <c r="D619" s="30">
        <f>IF('19. Sewer - Capex Input'!$I100=D$3,'19. Sewer - Capex Input'!$J100,0)</f>
        <v>100689.83999999997</v>
      </c>
      <c r="E619" s="30">
        <f>IF('19. Sewer - Capex Input'!$I100=E$3,'19. Sewer - Capex Input'!$J100,0)</f>
        <v>0</v>
      </c>
      <c r="F619" s="30">
        <f>IF('19. Sewer - Capex Input'!$I100=F$3,'19. Sewer - Capex Input'!$J100,0)</f>
        <v>0</v>
      </c>
      <c r="G619" s="30">
        <f>IF('19. Sewer - Capex Input'!$I100=G$3,'19. Sewer - Capex Input'!$J100,0)</f>
        <v>0</v>
      </c>
      <c r="H619" s="30">
        <f>IF('19. Sewer - Capex Input'!$I100=H$3,'19. Sewer - Capex Input'!$J100,0)</f>
        <v>0</v>
      </c>
    </row>
    <row r="620" spans="2:8">
      <c r="B620" s="152">
        <f t="shared" si="26"/>
        <v>0</v>
      </c>
      <c r="D620" s="30">
        <f>IF('19. Sewer - Capex Input'!$I101=D$3,'19. Sewer - Capex Input'!$J101,0)</f>
        <v>70748.930000000008</v>
      </c>
      <c r="E620" s="30">
        <f>IF('19. Sewer - Capex Input'!$I101=E$3,'19. Sewer - Capex Input'!$J101,0)</f>
        <v>0</v>
      </c>
      <c r="F620" s="30">
        <f>IF('19. Sewer - Capex Input'!$I101=F$3,'19. Sewer - Capex Input'!$J101,0)</f>
        <v>0</v>
      </c>
      <c r="G620" s="30">
        <f>IF('19. Sewer - Capex Input'!$I101=G$3,'19. Sewer - Capex Input'!$J101,0)</f>
        <v>0</v>
      </c>
      <c r="H620" s="30">
        <f>IF('19. Sewer - Capex Input'!$I101=H$3,'19. Sewer - Capex Input'!$J101,0)</f>
        <v>0</v>
      </c>
    </row>
    <row r="621" spans="2:8">
      <c r="B621" s="152">
        <f t="shared" si="26"/>
        <v>0</v>
      </c>
      <c r="D621" s="30">
        <f>IF('19. Sewer - Capex Input'!$I102=D$3,'19. Sewer - Capex Input'!$J102,0)</f>
        <v>142399.21000000002</v>
      </c>
      <c r="E621" s="30">
        <f>IF('19. Sewer - Capex Input'!$I102=E$3,'19. Sewer - Capex Input'!$J102,0)</f>
        <v>0</v>
      </c>
      <c r="F621" s="30">
        <f>IF('19. Sewer - Capex Input'!$I102=F$3,'19. Sewer - Capex Input'!$J102,0)</f>
        <v>0</v>
      </c>
      <c r="G621" s="30">
        <f>IF('19. Sewer - Capex Input'!$I102=G$3,'19. Sewer - Capex Input'!$J102,0)</f>
        <v>0</v>
      </c>
      <c r="H621" s="30">
        <f>IF('19. Sewer - Capex Input'!$I102=H$3,'19. Sewer - Capex Input'!$J102,0)</f>
        <v>0</v>
      </c>
    </row>
    <row r="622" spans="2:8">
      <c r="B622" s="152">
        <f t="shared" si="26"/>
        <v>0</v>
      </c>
      <c r="D622" s="30">
        <f>IF('19. Sewer - Capex Input'!$I103=D$3,'19. Sewer - Capex Input'!$J103,0)</f>
        <v>24808.75</v>
      </c>
      <c r="E622" s="30">
        <f>IF('19. Sewer - Capex Input'!$I103=E$3,'19. Sewer - Capex Input'!$J103,0)</f>
        <v>0</v>
      </c>
      <c r="F622" s="30">
        <f>IF('19. Sewer - Capex Input'!$I103=F$3,'19. Sewer - Capex Input'!$J103,0)</f>
        <v>0</v>
      </c>
      <c r="G622" s="30">
        <f>IF('19. Sewer - Capex Input'!$I103=G$3,'19. Sewer - Capex Input'!$J103,0)</f>
        <v>0</v>
      </c>
      <c r="H622" s="30">
        <f>IF('19. Sewer - Capex Input'!$I103=H$3,'19. Sewer - Capex Input'!$J103,0)</f>
        <v>0</v>
      </c>
    </row>
    <row r="623" spans="2:8">
      <c r="B623" s="152">
        <f t="shared" si="26"/>
        <v>0</v>
      </c>
      <c r="D623" s="30">
        <f>IF('19. Sewer - Capex Input'!$I104=D$3,'19. Sewer - Capex Input'!$J104,0)</f>
        <v>0</v>
      </c>
      <c r="E623" s="30">
        <f>IF('19. Sewer - Capex Input'!$I104=E$3,'19. Sewer - Capex Input'!$J104,0)</f>
        <v>215000</v>
      </c>
      <c r="F623" s="30">
        <f>IF('19. Sewer - Capex Input'!$I104=F$3,'19. Sewer - Capex Input'!$J104,0)</f>
        <v>0</v>
      </c>
      <c r="G623" s="30">
        <f>IF('19. Sewer - Capex Input'!$I104=G$3,'19. Sewer - Capex Input'!$J104,0)</f>
        <v>0</v>
      </c>
      <c r="H623" s="30">
        <f>IF('19. Sewer - Capex Input'!$I104=H$3,'19. Sewer - Capex Input'!$J104,0)</f>
        <v>0</v>
      </c>
    </row>
    <row r="624" spans="2:8">
      <c r="B624" s="152">
        <f t="shared" si="26"/>
        <v>0</v>
      </c>
      <c r="D624" s="30">
        <f>IF('19. Sewer - Capex Input'!$I105=D$3,'19. Sewer - Capex Input'!$J105,0)</f>
        <v>575003.31999999995</v>
      </c>
      <c r="E624" s="30">
        <f>IF('19. Sewer - Capex Input'!$I105=E$3,'19. Sewer - Capex Input'!$J105,0)</f>
        <v>0</v>
      </c>
      <c r="F624" s="30">
        <f>IF('19. Sewer - Capex Input'!$I105=F$3,'19. Sewer - Capex Input'!$J105,0)</f>
        <v>0</v>
      </c>
      <c r="G624" s="30">
        <f>IF('19. Sewer - Capex Input'!$I105=G$3,'19. Sewer - Capex Input'!$J105,0)</f>
        <v>0</v>
      </c>
      <c r="H624" s="30">
        <f>IF('19. Sewer - Capex Input'!$I105=H$3,'19. Sewer - Capex Input'!$J105,0)</f>
        <v>0</v>
      </c>
    </row>
    <row r="625" spans="2:8">
      <c r="B625" s="152">
        <f t="shared" si="26"/>
        <v>0</v>
      </c>
      <c r="D625" s="30">
        <f>IF('19. Sewer - Capex Input'!$I106=D$3,'19. Sewer - Capex Input'!$J106,0)</f>
        <v>0</v>
      </c>
      <c r="E625" s="30">
        <f>IF('19. Sewer - Capex Input'!$I106=E$3,'19. Sewer - Capex Input'!$J106,0)</f>
        <v>419500.00000000006</v>
      </c>
      <c r="F625" s="30">
        <f>IF('19. Sewer - Capex Input'!$I106=F$3,'19. Sewer - Capex Input'!$J106,0)</f>
        <v>0</v>
      </c>
      <c r="G625" s="30">
        <f>IF('19. Sewer - Capex Input'!$I106=G$3,'19. Sewer - Capex Input'!$J106,0)</f>
        <v>0</v>
      </c>
      <c r="H625" s="30">
        <f>IF('19. Sewer - Capex Input'!$I106=H$3,'19. Sewer - Capex Input'!$J106,0)</f>
        <v>0</v>
      </c>
    </row>
    <row r="626" spans="2:8">
      <c r="B626" s="152">
        <f t="shared" si="26"/>
        <v>0</v>
      </c>
      <c r="D626" s="30">
        <f>IF('19. Sewer - Capex Input'!$I107=D$3,'19. Sewer - Capex Input'!$J107,0)</f>
        <v>0</v>
      </c>
      <c r="E626" s="30">
        <f>IF('19. Sewer - Capex Input'!$I107=E$3,'19. Sewer - Capex Input'!$J107,0)</f>
        <v>0</v>
      </c>
      <c r="F626" s="30">
        <f>IF('19. Sewer - Capex Input'!$I107=F$3,'19. Sewer - Capex Input'!$J107,0)</f>
        <v>450000</v>
      </c>
      <c r="G626" s="30">
        <f>IF('19. Sewer - Capex Input'!$I107=G$3,'19. Sewer - Capex Input'!$J107,0)</f>
        <v>0</v>
      </c>
      <c r="H626" s="30">
        <f>IF('19. Sewer - Capex Input'!$I107=H$3,'19. Sewer - Capex Input'!$J107,0)</f>
        <v>0</v>
      </c>
    </row>
    <row r="627" spans="2:8">
      <c r="B627" s="152">
        <f t="shared" si="26"/>
        <v>0</v>
      </c>
      <c r="D627" s="30">
        <f>IF('19. Sewer - Capex Input'!$I108=D$3,'19. Sewer - Capex Input'!$J108,0)</f>
        <v>0</v>
      </c>
      <c r="E627" s="30">
        <f>IF('19. Sewer - Capex Input'!$I108=E$3,'19. Sewer - Capex Input'!$J108,0)</f>
        <v>0</v>
      </c>
      <c r="F627" s="30">
        <f>IF('19. Sewer - Capex Input'!$I108=F$3,'19. Sewer - Capex Input'!$J108,0)</f>
        <v>0</v>
      </c>
      <c r="G627" s="30">
        <f>IF('19. Sewer - Capex Input'!$I108=G$3,'19. Sewer - Capex Input'!$J108,0)</f>
        <v>450000</v>
      </c>
      <c r="H627" s="30">
        <f>IF('19. Sewer - Capex Input'!$I108=H$3,'19. Sewer - Capex Input'!$J108,0)</f>
        <v>0</v>
      </c>
    </row>
    <row r="628" spans="2:8">
      <c r="B628" s="152">
        <f t="shared" si="26"/>
        <v>0</v>
      </c>
      <c r="D628" s="30">
        <f>IF('19. Sewer - Capex Input'!$I109=D$3,'19. Sewer - Capex Input'!$J109,0)</f>
        <v>0</v>
      </c>
      <c r="E628" s="30">
        <f>IF('19. Sewer - Capex Input'!$I109=E$3,'19. Sewer - Capex Input'!$J109,0)</f>
        <v>0</v>
      </c>
      <c r="F628" s="30">
        <f>IF('19. Sewer - Capex Input'!$I109=F$3,'19. Sewer - Capex Input'!$J109,0)</f>
        <v>0</v>
      </c>
      <c r="G628" s="30">
        <f>IF('19. Sewer - Capex Input'!$I109=G$3,'19. Sewer - Capex Input'!$J109,0)</f>
        <v>0</v>
      </c>
      <c r="H628" s="30">
        <f>IF('19. Sewer - Capex Input'!$I109=H$3,'19. Sewer - Capex Input'!$J109,0)</f>
        <v>450000</v>
      </c>
    </row>
    <row r="629" spans="2:8">
      <c r="B629" s="152">
        <f t="shared" si="26"/>
        <v>0</v>
      </c>
      <c r="D629" s="30">
        <f>IF('19. Sewer - Capex Input'!$I110=D$3,'19. Sewer - Capex Input'!$J110,0)</f>
        <v>495012.7</v>
      </c>
      <c r="E629" s="30">
        <f>IF('19. Sewer - Capex Input'!$I110=E$3,'19. Sewer - Capex Input'!$J110,0)</f>
        <v>0</v>
      </c>
      <c r="F629" s="30">
        <f>IF('19. Sewer - Capex Input'!$I110=F$3,'19. Sewer - Capex Input'!$J110,0)</f>
        <v>0</v>
      </c>
      <c r="G629" s="30">
        <f>IF('19. Sewer - Capex Input'!$I110=G$3,'19. Sewer - Capex Input'!$J110,0)</f>
        <v>0</v>
      </c>
      <c r="H629" s="30">
        <f>IF('19. Sewer - Capex Input'!$I110=H$3,'19. Sewer - Capex Input'!$J110,0)</f>
        <v>0</v>
      </c>
    </row>
    <row r="630" spans="2:8">
      <c r="B630" s="152">
        <f t="shared" si="26"/>
        <v>0</v>
      </c>
      <c r="D630" s="30">
        <f>IF('19. Sewer - Capex Input'!$I111=D$3,'19. Sewer - Capex Input'!$J111,0)</f>
        <v>0</v>
      </c>
      <c r="E630" s="30">
        <f>IF('19. Sewer - Capex Input'!$I111=E$3,'19. Sewer - Capex Input'!$J111,0)</f>
        <v>539000</v>
      </c>
      <c r="F630" s="30">
        <f>IF('19. Sewer - Capex Input'!$I111=F$3,'19. Sewer - Capex Input'!$J111,0)</f>
        <v>0</v>
      </c>
      <c r="G630" s="30">
        <f>IF('19. Sewer - Capex Input'!$I111=G$3,'19. Sewer - Capex Input'!$J111,0)</f>
        <v>0</v>
      </c>
      <c r="H630" s="30">
        <f>IF('19. Sewer - Capex Input'!$I111=H$3,'19. Sewer - Capex Input'!$J111,0)</f>
        <v>0</v>
      </c>
    </row>
    <row r="631" spans="2:8">
      <c r="B631" s="152">
        <f t="shared" si="26"/>
        <v>0</v>
      </c>
      <c r="D631" s="30">
        <f>IF('19. Sewer - Capex Input'!$I112=D$3,'19. Sewer - Capex Input'!$J112,0)</f>
        <v>0</v>
      </c>
      <c r="E631" s="30">
        <f>IF('19. Sewer - Capex Input'!$I112=E$3,'19. Sewer - Capex Input'!$J112,0)</f>
        <v>38133.32</v>
      </c>
      <c r="F631" s="30">
        <f>IF('19. Sewer - Capex Input'!$I112=F$3,'19. Sewer - Capex Input'!$J112,0)</f>
        <v>0</v>
      </c>
      <c r="G631" s="30">
        <f>IF('19. Sewer - Capex Input'!$I112=G$3,'19. Sewer - Capex Input'!$J112,0)</f>
        <v>0</v>
      </c>
      <c r="H631" s="30">
        <f>IF('19. Sewer - Capex Input'!$I112=H$3,'19. Sewer - Capex Input'!$J112,0)</f>
        <v>0</v>
      </c>
    </row>
    <row r="632" spans="2:8">
      <c r="B632" s="152">
        <f t="shared" si="26"/>
        <v>0</v>
      </c>
      <c r="D632" s="30">
        <f>IF('19. Sewer - Capex Input'!$I113=D$3,'19. Sewer - Capex Input'!$J113,0)</f>
        <v>0</v>
      </c>
      <c r="E632" s="30">
        <f>IF('19. Sewer - Capex Input'!$I113=E$3,'19. Sewer - Capex Input'!$J113,0)</f>
        <v>426976</v>
      </c>
      <c r="F632" s="30">
        <f>IF('19. Sewer - Capex Input'!$I113=F$3,'19. Sewer - Capex Input'!$J113,0)</f>
        <v>0</v>
      </c>
      <c r="G632" s="30">
        <f>IF('19. Sewer - Capex Input'!$I113=G$3,'19. Sewer - Capex Input'!$J113,0)</f>
        <v>0</v>
      </c>
      <c r="H632" s="30">
        <f>IF('19. Sewer - Capex Input'!$I113=H$3,'19. Sewer - Capex Input'!$J113,0)</f>
        <v>0</v>
      </c>
    </row>
    <row r="633" spans="2:8">
      <c r="B633" s="152">
        <f t="shared" si="26"/>
        <v>0</v>
      </c>
      <c r="D633" s="30">
        <f>IF('19. Sewer - Capex Input'!$I114=D$3,'19. Sewer - Capex Input'!$J114,0)</f>
        <v>0</v>
      </c>
      <c r="E633" s="30">
        <f>IF('19. Sewer - Capex Input'!$I114=E$3,'19. Sewer - Capex Input'!$J114,0)</f>
        <v>1263686</v>
      </c>
      <c r="F633" s="30">
        <f>IF('19. Sewer - Capex Input'!$I114=F$3,'19. Sewer - Capex Input'!$J114,0)</f>
        <v>0</v>
      </c>
      <c r="G633" s="30">
        <f>IF('19. Sewer - Capex Input'!$I114=G$3,'19. Sewer - Capex Input'!$J114,0)</f>
        <v>0</v>
      </c>
      <c r="H633" s="30">
        <f>IF('19. Sewer - Capex Input'!$I114=H$3,'19. Sewer - Capex Input'!$J114,0)</f>
        <v>0</v>
      </c>
    </row>
    <row r="634" spans="2:8">
      <c r="B634" s="152">
        <f t="shared" si="26"/>
        <v>0</v>
      </c>
      <c r="D634" s="30">
        <f>IF('19. Sewer - Capex Input'!$I115=D$3,'19. Sewer - Capex Input'!$J115,0)</f>
        <v>0</v>
      </c>
      <c r="E634" s="30">
        <f>IF('19. Sewer - Capex Input'!$I115=E$3,'19. Sewer - Capex Input'!$J115,0)</f>
        <v>519200</v>
      </c>
      <c r="F634" s="30">
        <f>IF('19. Sewer - Capex Input'!$I115=F$3,'19. Sewer - Capex Input'!$J115,0)</f>
        <v>0</v>
      </c>
      <c r="G634" s="30">
        <f>IF('19. Sewer - Capex Input'!$I115=G$3,'19. Sewer - Capex Input'!$J115,0)</f>
        <v>0</v>
      </c>
      <c r="H634" s="30">
        <f>IF('19. Sewer - Capex Input'!$I115=H$3,'19. Sewer - Capex Input'!$J115,0)</f>
        <v>0</v>
      </c>
    </row>
    <row r="635" spans="2:8">
      <c r="B635" s="152">
        <f t="shared" si="26"/>
        <v>0</v>
      </c>
      <c r="D635" s="30">
        <f>IF('19. Sewer - Capex Input'!$I116=D$3,'19. Sewer - Capex Input'!$J116,0)</f>
        <v>0</v>
      </c>
      <c r="E635" s="30">
        <f>IF('19. Sewer - Capex Input'!$I116=E$3,'19. Sewer - Capex Input'!$J116,0)</f>
        <v>324500</v>
      </c>
      <c r="F635" s="30">
        <f>IF('19. Sewer - Capex Input'!$I116=F$3,'19. Sewer - Capex Input'!$J116,0)</f>
        <v>0</v>
      </c>
      <c r="G635" s="30">
        <f>IF('19. Sewer - Capex Input'!$I116=G$3,'19. Sewer - Capex Input'!$J116,0)</f>
        <v>0</v>
      </c>
      <c r="H635" s="30">
        <f>IF('19. Sewer - Capex Input'!$I116=H$3,'19. Sewer - Capex Input'!$J116,0)</f>
        <v>0</v>
      </c>
    </row>
    <row r="636" spans="2:8">
      <c r="B636" s="152">
        <f t="shared" si="26"/>
        <v>0</v>
      </c>
      <c r="D636" s="30">
        <f>IF('19. Sewer - Capex Input'!$I117=D$3,'19. Sewer - Capex Input'!$J117,0)</f>
        <v>62433.919999999984</v>
      </c>
      <c r="E636" s="30">
        <f>IF('19. Sewer - Capex Input'!$I117=E$3,'19. Sewer - Capex Input'!$J117,0)</f>
        <v>0</v>
      </c>
      <c r="F636" s="30">
        <f>IF('19. Sewer - Capex Input'!$I117=F$3,'19. Sewer - Capex Input'!$J117,0)</f>
        <v>0</v>
      </c>
      <c r="G636" s="30">
        <f>IF('19. Sewer - Capex Input'!$I117=G$3,'19. Sewer - Capex Input'!$J117,0)</f>
        <v>0</v>
      </c>
      <c r="H636" s="30">
        <f>IF('19. Sewer - Capex Input'!$I117=H$3,'19. Sewer - Capex Input'!$J117,0)</f>
        <v>0</v>
      </c>
    </row>
    <row r="637" spans="2:8">
      <c r="B637" s="152">
        <f t="shared" si="26"/>
        <v>0</v>
      </c>
      <c r="D637" s="30">
        <f>IF('19. Sewer - Capex Input'!$I118=D$3,'19. Sewer - Capex Input'!$J118,0)</f>
        <v>0</v>
      </c>
      <c r="E637" s="30">
        <f>IF('19. Sewer - Capex Input'!$I118=E$3,'19. Sewer - Capex Input'!$J118,0)</f>
        <v>280000</v>
      </c>
      <c r="F637" s="30">
        <f>IF('19. Sewer - Capex Input'!$I118=F$3,'19. Sewer - Capex Input'!$J118,0)</f>
        <v>0</v>
      </c>
      <c r="G637" s="30">
        <f>IF('19. Sewer - Capex Input'!$I118=G$3,'19. Sewer - Capex Input'!$J118,0)</f>
        <v>0</v>
      </c>
      <c r="H637" s="30">
        <f>IF('19. Sewer - Capex Input'!$I118=H$3,'19. Sewer - Capex Input'!$J118,0)</f>
        <v>0</v>
      </c>
    </row>
    <row r="638" spans="2:8">
      <c r="B638" s="152">
        <f t="shared" si="26"/>
        <v>0</v>
      </c>
      <c r="D638" s="30">
        <f>IF('19. Sewer - Capex Input'!$I119=D$3,'19. Sewer - Capex Input'!$J119,0)</f>
        <v>34721.22</v>
      </c>
      <c r="E638" s="30">
        <f>IF('19. Sewer - Capex Input'!$I119=E$3,'19. Sewer - Capex Input'!$J119,0)</f>
        <v>0</v>
      </c>
      <c r="F638" s="30">
        <f>IF('19. Sewer - Capex Input'!$I119=F$3,'19. Sewer - Capex Input'!$J119,0)</f>
        <v>0</v>
      </c>
      <c r="G638" s="30">
        <f>IF('19. Sewer - Capex Input'!$I119=G$3,'19. Sewer - Capex Input'!$J119,0)</f>
        <v>0</v>
      </c>
      <c r="H638" s="30">
        <f>IF('19. Sewer - Capex Input'!$I119=H$3,'19. Sewer - Capex Input'!$J119,0)</f>
        <v>0</v>
      </c>
    </row>
    <row r="639" spans="2:8">
      <c r="B639" s="152">
        <f t="shared" si="26"/>
        <v>0</v>
      </c>
      <c r="D639" s="30">
        <f>IF('19. Sewer - Capex Input'!$I120=D$3,'19. Sewer - Capex Input'!$J120,0)</f>
        <v>4935.79</v>
      </c>
      <c r="E639" s="30">
        <f>IF('19. Sewer - Capex Input'!$I120=E$3,'19. Sewer - Capex Input'!$J120,0)</f>
        <v>0</v>
      </c>
      <c r="F639" s="30">
        <f>IF('19. Sewer - Capex Input'!$I120=F$3,'19. Sewer - Capex Input'!$J120,0)</f>
        <v>0</v>
      </c>
      <c r="G639" s="30">
        <f>IF('19. Sewer - Capex Input'!$I120=G$3,'19. Sewer - Capex Input'!$J120,0)</f>
        <v>0</v>
      </c>
      <c r="H639" s="30">
        <f>IF('19. Sewer - Capex Input'!$I120=H$3,'19. Sewer - Capex Input'!$J120,0)</f>
        <v>0</v>
      </c>
    </row>
    <row r="640" spans="2:8">
      <c r="B640" s="152">
        <f t="shared" si="26"/>
        <v>0</v>
      </c>
      <c r="D640" s="30">
        <f>IF('19. Sewer - Capex Input'!$I121=D$3,'19. Sewer - Capex Input'!$J121,0)</f>
        <v>100924.19000000002</v>
      </c>
      <c r="E640" s="30">
        <f>IF('19. Sewer - Capex Input'!$I121=E$3,'19. Sewer - Capex Input'!$J121,0)</f>
        <v>0</v>
      </c>
      <c r="F640" s="30">
        <f>IF('19. Sewer - Capex Input'!$I121=F$3,'19. Sewer - Capex Input'!$J121,0)</f>
        <v>0</v>
      </c>
      <c r="G640" s="30">
        <f>IF('19. Sewer - Capex Input'!$I121=G$3,'19. Sewer - Capex Input'!$J121,0)</f>
        <v>0</v>
      </c>
      <c r="H640" s="30">
        <f>IF('19. Sewer - Capex Input'!$I121=H$3,'19. Sewer - Capex Input'!$J121,0)</f>
        <v>0</v>
      </c>
    </row>
    <row r="641" spans="2:8">
      <c r="B641" s="152">
        <f t="shared" si="26"/>
        <v>0</v>
      </c>
      <c r="D641" s="30">
        <f>IF('19. Sewer - Capex Input'!$I122=D$3,'19. Sewer - Capex Input'!$J122,0)</f>
        <v>8429.9</v>
      </c>
      <c r="E641" s="30">
        <f>IF('19. Sewer - Capex Input'!$I122=E$3,'19. Sewer - Capex Input'!$J122,0)</f>
        <v>0</v>
      </c>
      <c r="F641" s="30">
        <f>IF('19. Sewer - Capex Input'!$I122=F$3,'19. Sewer - Capex Input'!$J122,0)</f>
        <v>0</v>
      </c>
      <c r="G641" s="30">
        <f>IF('19. Sewer - Capex Input'!$I122=G$3,'19. Sewer - Capex Input'!$J122,0)</f>
        <v>0</v>
      </c>
      <c r="H641" s="30">
        <f>IF('19. Sewer - Capex Input'!$I122=H$3,'19. Sewer - Capex Input'!$J122,0)</f>
        <v>0</v>
      </c>
    </row>
    <row r="642" spans="2:8">
      <c r="B642" s="152">
        <f t="shared" si="26"/>
        <v>0</v>
      </c>
      <c r="D642" s="30">
        <f>IF('19. Sewer - Capex Input'!$I123=D$3,'19. Sewer - Capex Input'!$J123,0)</f>
        <v>35011.80000000001</v>
      </c>
      <c r="E642" s="30">
        <f>IF('19. Sewer - Capex Input'!$I123=E$3,'19. Sewer - Capex Input'!$J123,0)</f>
        <v>0</v>
      </c>
      <c r="F642" s="30">
        <f>IF('19. Sewer - Capex Input'!$I123=F$3,'19. Sewer - Capex Input'!$J123,0)</f>
        <v>0</v>
      </c>
      <c r="G642" s="30">
        <f>IF('19. Sewer - Capex Input'!$I123=G$3,'19. Sewer - Capex Input'!$J123,0)</f>
        <v>0</v>
      </c>
      <c r="H642" s="30">
        <f>IF('19. Sewer - Capex Input'!$I123=H$3,'19. Sewer - Capex Input'!$J123,0)</f>
        <v>0</v>
      </c>
    </row>
    <row r="643" spans="2:8">
      <c r="B643" s="152">
        <f t="shared" si="26"/>
        <v>0</v>
      </c>
      <c r="D643" s="30">
        <f>IF('19. Sewer - Capex Input'!$I124=D$3,'19. Sewer - Capex Input'!$J124,0)</f>
        <v>0</v>
      </c>
      <c r="E643" s="30">
        <f>IF('19. Sewer - Capex Input'!$I124=E$3,'19. Sewer - Capex Input'!$J124,0)</f>
        <v>55000</v>
      </c>
      <c r="F643" s="30">
        <f>IF('19. Sewer - Capex Input'!$I124=F$3,'19. Sewer - Capex Input'!$J124,0)</f>
        <v>0</v>
      </c>
      <c r="G643" s="30">
        <f>IF('19. Sewer - Capex Input'!$I124=G$3,'19. Sewer - Capex Input'!$J124,0)</f>
        <v>0</v>
      </c>
      <c r="H643" s="30">
        <f>IF('19. Sewer - Capex Input'!$I124=H$3,'19. Sewer - Capex Input'!$J124,0)</f>
        <v>0</v>
      </c>
    </row>
    <row r="644" spans="2:8">
      <c r="B644" s="152">
        <f t="shared" si="26"/>
        <v>0</v>
      </c>
      <c r="D644" s="30">
        <f>IF('19. Sewer - Capex Input'!$I125=D$3,'19. Sewer - Capex Input'!$J125,0)</f>
        <v>0</v>
      </c>
      <c r="E644" s="30">
        <f>IF('19. Sewer - Capex Input'!$I125=E$3,'19. Sewer - Capex Input'!$J125,0)</f>
        <v>0</v>
      </c>
      <c r="F644" s="30">
        <f>IF('19. Sewer - Capex Input'!$I125=F$3,'19. Sewer - Capex Input'!$J125,0)</f>
        <v>20000</v>
      </c>
      <c r="G644" s="30">
        <f>IF('19. Sewer - Capex Input'!$I125=G$3,'19. Sewer - Capex Input'!$J125,0)</f>
        <v>0</v>
      </c>
      <c r="H644" s="30">
        <f>IF('19. Sewer - Capex Input'!$I125=H$3,'19. Sewer - Capex Input'!$J125,0)</f>
        <v>0</v>
      </c>
    </row>
    <row r="645" spans="2:8">
      <c r="B645" s="152">
        <f t="shared" si="26"/>
        <v>0</v>
      </c>
      <c r="D645" s="30">
        <f>IF('19. Sewer - Capex Input'!$I126=D$3,'19. Sewer - Capex Input'!$J126,0)</f>
        <v>0</v>
      </c>
      <c r="E645" s="30">
        <f>IF('19. Sewer - Capex Input'!$I126=E$3,'19. Sewer - Capex Input'!$J126,0)</f>
        <v>0</v>
      </c>
      <c r="F645" s="30">
        <f>IF('19. Sewer - Capex Input'!$I126=F$3,'19. Sewer - Capex Input'!$J126,0)</f>
        <v>0</v>
      </c>
      <c r="G645" s="30">
        <f>IF('19. Sewer - Capex Input'!$I126=G$3,'19. Sewer - Capex Input'!$J126,0)</f>
        <v>20000</v>
      </c>
      <c r="H645" s="30">
        <f>IF('19. Sewer - Capex Input'!$I126=H$3,'19. Sewer - Capex Input'!$J126,0)</f>
        <v>0</v>
      </c>
    </row>
    <row r="646" spans="2:8">
      <c r="B646" s="152">
        <f t="shared" si="26"/>
        <v>0</v>
      </c>
      <c r="D646" s="30">
        <f>IF('19. Sewer - Capex Input'!$I127=D$3,'19. Sewer - Capex Input'!$J127,0)</f>
        <v>0</v>
      </c>
      <c r="E646" s="30">
        <f>IF('19. Sewer - Capex Input'!$I127=E$3,'19. Sewer - Capex Input'!$J127,0)</f>
        <v>0</v>
      </c>
      <c r="F646" s="30">
        <f>IF('19. Sewer - Capex Input'!$I127=F$3,'19. Sewer - Capex Input'!$J127,0)</f>
        <v>0</v>
      </c>
      <c r="G646" s="30">
        <f>IF('19. Sewer - Capex Input'!$I127=G$3,'19. Sewer - Capex Input'!$J127,0)</f>
        <v>0</v>
      </c>
      <c r="H646" s="30">
        <f>IF('19. Sewer - Capex Input'!$I127=H$3,'19. Sewer - Capex Input'!$J127,0)</f>
        <v>20000</v>
      </c>
    </row>
    <row r="647" spans="2:8">
      <c r="B647" s="152">
        <f t="shared" si="26"/>
        <v>0</v>
      </c>
      <c r="D647" s="30">
        <f>IF('19. Sewer - Capex Input'!$I128=D$3,'19. Sewer - Capex Input'!$J128,0)</f>
        <v>34427.669999999991</v>
      </c>
      <c r="E647" s="30">
        <f>IF('19. Sewer - Capex Input'!$I128=E$3,'19. Sewer - Capex Input'!$J128,0)</f>
        <v>0</v>
      </c>
      <c r="F647" s="30">
        <f>IF('19. Sewer - Capex Input'!$I128=F$3,'19. Sewer - Capex Input'!$J128,0)</f>
        <v>0</v>
      </c>
      <c r="G647" s="30">
        <f>IF('19. Sewer - Capex Input'!$I128=G$3,'19. Sewer - Capex Input'!$J128,0)</f>
        <v>0</v>
      </c>
      <c r="H647" s="30">
        <f>IF('19. Sewer - Capex Input'!$I128=H$3,'19. Sewer - Capex Input'!$J128,0)</f>
        <v>0</v>
      </c>
    </row>
    <row r="648" spans="2:8">
      <c r="B648" s="152">
        <f t="shared" si="26"/>
        <v>0</v>
      </c>
      <c r="D648" s="30">
        <f>IF('19. Sewer - Capex Input'!$I129=D$3,'19. Sewer - Capex Input'!$J129,0)</f>
        <v>1142818.9100000001</v>
      </c>
      <c r="E648" s="30">
        <f>IF('19. Sewer - Capex Input'!$I129=E$3,'19. Sewer - Capex Input'!$J129,0)</f>
        <v>0</v>
      </c>
      <c r="F648" s="30">
        <f>IF('19. Sewer - Capex Input'!$I129=F$3,'19. Sewer - Capex Input'!$J129,0)</f>
        <v>0</v>
      </c>
      <c r="G648" s="30">
        <f>IF('19. Sewer - Capex Input'!$I129=G$3,'19. Sewer - Capex Input'!$J129,0)</f>
        <v>0</v>
      </c>
      <c r="H648" s="30">
        <f>IF('19. Sewer - Capex Input'!$I129=H$3,'19. Sewer - Capex Input'!$J129,0)</f>
        <v>0</v>
      </c>
    </row>
    <row r="649" spans="2:8">
      <c r="B649" s="152">
        <f t="shared" si="26"/>
        <v>0</v>
      </c>
      <c r="D649" s="30">
        <f>IF('19. Sewer - Capex Input'!$I130=D$3,'19. Sewer - Capex Input'!$J130,0)</f>
        <v>0</v>
      </c>
      <c r="E649" s="30">
        <f>IF('19. Sewer - Capex Input'!$I130=E$3,'19. Sewer - Capex Input'!$J130,0)</f>
        <v>20457</v>
      </c>
      <c r="F649" s="30">
        <f>IF('19. Sewer - Capex Input'!$I130=F$3,'19. Sewer - Capex Input'!$J130,0)</f>
        <v>0</v>
      </c>
      <c r="G649" s="30">
        <f>IF('19. Sewer - Capex Input'!$I130=G$3,'19. Sewer - Capex Input'!$J130,0)</f>
        <v>0</v>
      </c>
      <c r="H649" s="30">
        <f>IF('19. Sewer - Capex Input'!$I130=H$3,'19. Sewer - Capex Input'!$J130,0)</f>
        <v>0</v>
      </c>
    </row>
    <row r="650" spans="2:8">
      <c r="B650" s="152">
        <f t="shared" si="26"/>
        <v>0</v>
      </c>
      <c r="D650" s="30">
        <f>IF('19. Sewer - Capex Input'!$I131=D$3,'19. Sewer - Capex Input'!$J131,0)</f>
        <v>119630.24</v>
      </c>
      <c r="E650" s="30">
        <f>IF('19. Sewer - Capex Input'!$I131=E$3,'19. Sewer - Capex Input'!$J131,0)</f>
        <v>0</v>
      </c>
      <c r="F650" s="30">
        <f>IF('19. Sewer - Capex Input'!$I131=F$3,'19. Sewer - Capex Input'!$J131,0)</f>
        <v>0</v>
      </c>
      <c r="G650" s="30">
        <f>IF('19. Sewer - Capex Input'!$I131=G$3,'19. Sewer - Capex Input'!$J131,0)</f>
        <v>0</v>
      </c>
      <c r="H650" s="30">
        <f>IF('19. Sewer - Capex Input'!$I131=H$3,'19. Sewer - Capex Input'!$J131,0)</f>
        <v>0</v>
      </c>
    </row>
    <row r="651" spans="2:8">
      <c r="B651" s="152">
        <f t="shared" si="26"/>
        <v>0</v>
      </c>
      <c r="D651" s="30">
        <f>IF('19. Sewer - Capex Input'!$I132=D$3,'19. Sewer - Capex Input'!$J132,0)</f>
        <v>0</v>
      </c>
      <c r="E651" s="30">
        <f>IF('19. Sewer - Capex Input'!$I132=E$3,'19. Sewer - Capex Input'!$J132,0)</f>
        <v>39866</v>
      </c>
      <c r="F651" s="30">
        <f>IF('19. Sewer - Capex Input'!$I132=F$3,'19. Sewer - Capex Input'!$J132,0)</f>
        <v>0</v>
      </c>
      <c r="G651" s="30">
        <f>IF('19. Sewer - Capex Input'!$I132=G$3,'19. Sewer - Capex Input'!$J132,0)</f>
        <v>0</v>
      </c>
      <c r="H651" s="30">
        <f>IF('19. Sewer - Capex Input'!$I132=H$3,'19. Sewer - Capex Input'!$J132,0)</f>
        <v>0</v>
      </c>
    </row>
    <row r="652" spans="2:8">
      <c r="B652" s="152">
        <f t="shared" si="26"/>
        <v>0</v>
      </c>
      <c r="D652" s="30">
        <f>IF('19. Sewer - Capex Input'!$I133=D$3,'19. Sewer - Capex Input'!$J133,0)</f>
        <v>0</v>
      </c>
      <c r="E652" s="30">
        <f>IF('19. Sewer - Capex Input'!$I133=E$3,'19. Sewer - Capex Input'!$J133,0)</f>
        <v>1040937</v>
      </c>
      <c r="F652" s="30">
        <f>IF('19. Sewer - Capex Input'!$I133=F$3,'19. Sewer - Capex Input'!$J133,0)</f>
        <v>0</v>
      </c>
      <c r="G652" s="30">
        <f>IF('19. Sewer - Capex Input'!$I133=G$3,'19. Sewer - Capex Input'!$J133,0)</f>
        <v>0</v>
      </c>
      <c r="H652" s="30">
        <f>IF('19. Sewer - Capex Input'!$I133=H$3,'19. Sewer - Capex Input'!$J133,0)</f>
        <v>0</v>
      </c>
    </row>
    <row r="653" spans="2:8">
      <c r="B653" s="152">
        <f t="shared" ref="B653:B686" si="27">B486</f>
        <v>0</v>
      </c>
      <c r="D653" s="30">
        <f>IF('19. Sewer - Capex Input'!$I134=D$3,'19. Sewer - Capex Input'!$J134,0)</f>
        <v>123723.69</v>
      </c>
      <c r="E653" s="30">
        <f>IF('19. Sewer - Capex Input'!$I134=E$3,'19. Sewer - Capex Input'!$J134,0)</f>
        <v>0</v>
      </c>
      <c r="F653" s="30">
        <f>IF('19. Sewer - Capex Input'!$I134=F$3,'19. Sewer - Capex Input'!$J134,0)</f>
        <v>0</v>
      </c>
      <c r="G653" s="30">
        <f>IF('19. Sewer - Capex Input'!$I134=G$3,'19. Sewer - Capex Input'!$J134,0)</f>
        <v>0</v>
      </c>
      <c r="H653" s="30">
        <f>IF('19. Sewer - Capex Input'!$I134=H$3,'19. Sewer - Capex Input'!$J134,0)</f>
        <v>0</v>
      </c>
    </row>
    <row r="654" spans="2:8">
      <c r="B654" s="152">
        <f t="shared" si="27"/>
        <v>0</v>
      </c>
      <c r="D654" s="30">
        <f>IF('19. Sewer - Capex Input'!$I135=D$3,'19. Sewer - Capex Input'!$J135,0)</f>
        <v>0</v>
      </c>
      <c r="E654" s="30">
        <f>IF('19. Sewer - Capex Input'!$I135=E$3,'19. Sewer - Capex Input'!$J135,0)</f>
        <v>944612.34</v>
      </c>
      <c r="F654" s="30">
        <f>IF('19. Sewer - Capex Input'!$I135=F$3,'19. Sewer - Capex Input'!$J135,0)</f>
        <v>0</v>
      </c>
      <c r="G654" s="30">
        <f>IF('19. Sewer - Capex Input'!$I135=G$3,'19. Sewer - Capex Input'!$J135,0)</f>
        <v>0</v>
      </c>
      <c r="H654" s="30">
        <f>IF('19. Sewer - Capex Input'!$I135=H$3,'19. Sewer - Capex Input'!$J135,0)</f>
        <v>0</v>
      </c>
    </row>
    <row r="655" spans="2:8">
      <c r="B655" s="152">
        <f t="shared" si="27"/>
        <v>0</v>
      </c>
      <c r="D655" s="30">
        <f>IF('19. Sewer - Capex Input'!$I136=D$3,'19. Sewer - Capex Input'!$J136,0)</f>
        <v>0</v>
      </c>
      <c r="E655" s="30">
        <f>IF('19. Sewer - Capex Input'!$I136=E$3,'19. Sewer - Capex Input'!$J136,0)</f>
        <v>0</v>
      </c>
      <c r="F655" s="30">
        <f>IF('19. Sewer - Capex Input'!$I136=F$3,'19. Sewer - Capex Input'!$J136,0)</f>
        <v>37695</v>
      </c>
      <c r="G655" s="30">
        <f>IF('19. Sewer - Capex Input'!$I136=G$3,'19. Sewer - Capex Input'!$J136,0)</f>
        <v>0</v>
      </c>
      <c r="H655" s="30">
        <f>IF('19. Sewer - Capex Input'!$I136=H$3,'19. Sewer - Capex Input'!$J136,0)</f>
        <v>0</v>
      </c>
    </row>
    <row r="656" spans="2:8">
      <c r="B656" s="152">
        <f t="shared" si="27"/>
        <v>0</v>
      </c>
      <c r="D656" s="30">
        <f>IF('19. Sewer - Capex Input'!$I137=D$3,'19. Sewer - Capex Input'!$J137,0)</f>
        <v>40482.17</v>
      </c>
      <c r="E656" s="30">
        <f>IF('19. Sewer - Capex Input'!$I137=E$3,'19. Sewer - Capex Input'!$J137,0)</f>
        <v>0</v>
      </c>
      <c r="F656" s="30">
        <f>IF('19. Sewer - Capex Input'!$I137=F$3,'19. Sewer - Capex Input'!$J137,0)</f>
        <v>0</v>
      </c>
      <c r="G656" s="30">
        <f>IF('19. Sewer - Capex Input'!$I137=G$3,'19. Sewer - Capex Input'!$J137,0)</f>
        <v>0</v>
      </c>
      <c r="H656" s="30">
        <f>IF('19. Sewer - Capex Input'!$I137=H$3,'19. Sewer - Capex Input'!$J137,0)</f>
        <v>0</v>
      </c>
    </row>
    <row r="657" spans="2:8">
      <c r="B657" s="152">
        <f t="shared" si="27"/>
        <v>0</v>
      </c>
      <c r="D657" s="30">
        <f>IF('19. Sewer - Capex Input'!$I138=D$3,'19. Sewer - Capex Input'!$J138,0)</f>
        <v>102915.89</v>
      </c>
      <c r="E657" s="30">
        <f>IF('19. Sewer - Capex Input'!$I138=E$3,'19. Sewer - Capex Input'!$J138,0)</f>
        <v>0</v>
      </c>
      <c r="F657" s="30">
        <f>IF('19. Sewer - Capex Input'!$I138=F$3,'19. Sewer - Capex Input'!$J138,0)</f>
        <v>0</v>
      </c>
      <c r="G657" s="30">
        <f>IF('19. Sewer - Capex Input'!$I138=G$3,'19. Sewer - Capex Input'!$J138,0)</f>
        <v>0</v>
      </c>
      <c r="H657" s="30">
        <f>IF('19. Sewer - Capex Input'!$I138=H$3,'19. Sewer - Capex Input'!$J138,0)</f>
        <v>0</v>
      </c>
    </row>
    <row r="658" spans="2:8">
      <c r="B658" s="152">
        <f t="shared" si="27"/>
        <v>0</v>
      </c>
      <c r="D658" s="30">
        <f>IF('19. Sewer - Capex Input'!$I139=D$3,'19. Sewer - Capex Input'!$J139,0)</f>
        <v>802585.97999999952</v>
      </c>
      <c r="E658" s="30">
        <f>IF('19. Sewer - Capex Input'!$I139=E$3,'19. Sewer - Capex Input'!$J139,0)</f>
        <v>0</v>
      </c>
      <c r="F658" s="30">
        <f>IF('19. Sewer - Capex Input'!$I139=F$3,'19. Sewer - Capex Input'!$J139,0)</f>
        <v>0</v>
      </c>
      <c r="G658" s="30">
        <f>IF('19. Sewer - Capex Input'!$I139=G$3,'19. Sewer - Capex Input'!$J139,0)</f>
        <v>0</v>
      </c>
      <c r="H658" s="30">
        <f>IF('19. Sewer - Capex Input'!$I139=H$3,'19. Sewer - Capex Input'!$J139,0)</f>
        <v>0</v>
      </c>
    </row>
    <row r="659" spans="2:8">
      <c r="B659" s="152">
        <f t="shared" si="27"/>
        <v>0</v>
      </c>
      <c r="D659" s="30">
        <f>IF('19. Sewer - Capex Input'!$I140=D$3,'19. Sewer - Capex Input'!$J140,0)</f>
        <v>0</v>
      </c>
      <c r="E659" s="30">
        <f>IF('19. Sewer - Capex Input'!$I140=E$3,'19. Sewer - Capex Input'!$J140,0)</f>
        <v>1206590.6599999999</v>
      </c>
      <c r="F659" s="30">
        <f>IF('19. Sewer - Capex Input'!$I140=F$3,'19. Sewer - Capex Input'!$J140,0)</f>
        <v>0</v>
      </c>
      <c r="G659" s="30">
        <f>IF('19. Sewer - Capex Input'!$I140=G$3,'19. Sewer - Capex Input'!$J140,0)</f>
        <v>0</v>
      </c>
      <c r="H659" s="30">
        <f>IF('19. Sewer - Capex Input'!$I140=H$3,'19. Sewer - Capex Input'!$J140,0)</f>
        <v>0</v>
      </c>
    </row>
    <row r="660" spans="2:8">
      <c r="B660" s="152">
        <f t="shared" si="27"/>
        <v>0</v>
      </c>
      <c r="D660" s="30">
        <f>IF('19. Sewer - Capex Input'!$I141=D$3,'19. Sewer - Capex Input'!$J141,0)</f>
        <v>0</v>
      </c>
      <c r="E660" s="30">
        <f>IF('19. Sewer - Capex Input'!$I141=E$3,'19. Sewer - Capex Input'!$J141,0)</f>
        <v>0</v>
      </c>
      <c r="F660" s="30">
        <f>IF('19. Sewer - Capex Input'!$I141=F$3,'19. Sewer - Capex Input'!$J141,0)</f>
        <v>617914</v>
      </c>
      <c r="G660" s="30">
        <f>IF('19. Sewer - Capex Input'!$I141=G$3,'19. Sewer - Capex Input'!$J141,0)</f>
        <v>0</v>
      </c>
      <c r="H660" s="30">
        <f>IF('19. Sewer - Capex Input'!$I141=H$3,'19. Sewer - Capex Input'!$J141,0)</f>
        <v>0</v>
      </c>
    </row>
    <row r="661" spans="2:8">
      <c r="B661" s="152">
        <f t="shared" si="27"/>
        <v>0</v>
      </c>
      <c r="D661" s="30">
        <f>IF('19. Sewer - Capex Input'!$I142=D$3,'19. Sewer - Capex Input'!$J142,0)</f>
        <v>10505.66</v>
      </c>
      <c r="E661" s="30">
        <f>IF('19. Sewer - Capex Input'!$I142=E$3,'19. Sewer - Capex Input'!$J142,0)</f>
        <v>0</v>
      </c>
      <c r="F661" s="30">
        <f>IF('19. Sewer - Capex Input'!$I142=F$3,'19. Sewer - Capex Input'!$J142,0)</f>
        <v>0</v>
      </c>
      <c r="G661" s="30">
        <f>IF('19. Sewer - Capex Input'!$I142=G$3,'19. Sewer - Capex Input'!$J142,0)</f>
        <v>0</v>
      </c>
      <c r="H661" s="30">
        <f>IF('19. Sewer - Capex Input'!$I142=H$3,'19. Sewer - Capex Input'!$J142,0)</f>
        <v>0</v>
      </c>
    </row>
    <row r="662" spans="2:8">
      <c r="B662" s="152">
        <f t="shared" si="27"/>
        <v>0</v>
      </c>
      <c r="D662" s="30">
        <f>IF('19. Sewer - Capex Input'!$I143=D$3,'19. Sewer - Capex Input'!$J143,0)</f>
        <v>0</v>
      </c>
      <c r="E662" s="30">
        <f>IF('19. Sewer - Capex Input'!$I143=E$3,'19. Sewer - Capex Input'!$J143,0)</f>
        <v>225421</v>
      </c>
      <c r="F662" s="30">
        <f>IF('19. Sewer - Capex Input'!$I143=F$3,'19. Sewer - Capex Input'!$J143,0)</f>
        <v>0</v>
      </c>
      <c r="G662" s="30">
        <f>IF('19. Sewer - Capex Input'!$I143=G$3,'19. Sewer - Capex Input'!$J143,0)</f>
        <v>0</v>
      </c>
      <c r="H662" s="30">
        <f>IF('19. Sewer - Capex Input'!$I143=H$3,'19. Sewer - Capex Input'!$J143,0)</f>
        <v>0</v>
      </c>
    </row>
    <row r="663" spans="2:8">
      <c r="B663" s="152">
        <f t="shared" si="27"/>
        <v>0</v>
      </c>
      <c r="D663" s="30">
        <f>IF('19. Sewer - Capex Input'!$I144=D$3,'19. Sewer - Capex Input'!$J144,0)</f>
        <v>0</v>
      </c>
      <c r="E663" s="30">
        <f>IF('19. Sewer - Capex Input'!$I144=E$3,'19. Sewer - Capex Input'!$J144,0)</f>
        <v>567274.11</v>
      </c>
      <c r="F663" s="30">
        <f>IF('19. Sewer - Capex Input'!$I144=F$3,'19. Sewer - Capex Input'!$J144,0)</f>
        <v>0</v>
      </c>
      <c r="G663" s="30">
        <f>IF('19. Sewer - Capex Input'!$I144=G$3,'19. Sewer - Capex Input'!$J144,0)</f>
        <v>0</v>
      </c>
      <c r="H663" s="30">
        <f>IF('19. Sewer - Capex Input'!$I144=H$3,'19. Sewer - Capex Input'!$J144,0)</f>
        <v>0</v>
      </c>
    </row>
    <row r="664" spans="2:8">
      <c r="B664" s="152">
        <f t="shared" si="27"/>
        <v>0</v>
      </c>
      <c r="D664" s="30">
        <f>IF('19. Sewer - Capex Input'!$I145=D$3,'19. Sewer - Capex Input'!$J145,0)</f>
        <v>0</v>
      </c>
      <c r="E664" s="30">
        <f>IF('19. Sewer - Capex Input'!$I145=E$3,'19. Sewer - Capex Input'!$J145,0)</f>
        <v>0</v>
      </c>
      <c r="F664" s="30">
        <f>IF('19. Sewer - Capex Input'!$I145=F$3,'19. Sewer - Capex Input'!$J145,0)</f>
        <v>5315835</v>
      </c>
      <c r="G664" s="30">
        <f>IF('19. Sewer - Capex Input'!$I145=G$3,'19. Sewer - Capex Input'!$J145,0)</f>
        <v>0</v>
      </c>
      <c r="H664" s="30">
        <f>IF('19. Sewer - Capex Input'!$I145=H$3,'19. Sewer - Capex Input'!$J145,0)</f>
        <v>0</v>
      </c>
    </row>
    <row r="665" spans="2:8">
      <c r="B665" s="152">
        <f t="shared" si="27"/>
        <v>0</v>
      </c>
      <c r="D665" s="30">
        <f>IF('19. Sewer - Capex Input'!$I146=D$3,'19. Sewer - Capex Input'!$J146,0)</f>
        <v>0</v>
      </c>
      <c r="E665" s="30">
        <f>IF('19. Sewer - Capex Input'!$I146=E$3,'19. Sewer - Capex Input'!$J146,0)</f>
        <v>0</v>
      </c>
      <c r="F665" s="30">
        <f>IF('19. Sewer - Capex Input'!$I146=F$3,'19. Sewer - Capex Input'!$J146,0)</f>
        <v>0</v>
      </c>
      <c r="G665" s="30">
        <f>IF('19. Sewer - Capex Input'!$I146=G$3,'19. Sewer - Capex Input'!$J146,0)</f>
        <v>12805725</v>
      </c>
      <c r="H665" s="30">
        <f>IF('19. Sewer - Capex Input'!$I146=H$3,'19. Sewer - Capex Input'!$J146,0)</f>
        <v>0</v>
      </c>
    </row>
    <row r="666" spans="2:8">
      <c r="B666" s="152">
        <f t="shared" si="27"/>
        <v>0</v>
      </c>
      <c r="D666" s="30">
        <f>IF('19. Sewer - Capex Input'!$I147=D$3,'19. Sewer - Capex Input'!$J147,0)</f>
        <v>0</v>
      </c>
      <c r="E666" s="30">
        <f>IF('19. Sewer - Capex Input'!$I147=E$3,'19. Sewer - Capex Input'!$J147,0)</f>
        <v>67500</v>
      </c>
      <c r="F666" s="30">
        <f>IF('19. Sewer - Capex Input'!$I147=F$3,'19. Sewer - Capex Input'!$J147,0)</f>
        <v>0</v>
      </c>
      <c r="G666" s="30">
        <f>IF('19. Sewer - Capex Input'!$I147=G$3,'19. Sewer - Capex Input'!$J147,0)</f>
        <v>0</v>
      </c>
      <c r="H666" s="30">
        <f>IF('19. Sewer - Capex Input'!$I147=H$3,'19. Sewer - Capex Input'!$J147,0)</f>
        <v>0</v>
      </c>
    </row>
    <row r="667" spans="2:8">
      <c r="B667" s="152">
        <f t="shared" si="27"/>
        <v>0</v>
      </c>
      <c r="D667" s="30">
        <f>IF('19. Sewer - Capex Input'!$I148=D$3,'19. Sewer - Capex Input'!$J148,0)</f>
        <v>0</v>
      </c>
      <c r="E667" s="30">
        <f>IF('19. Sewer - Capex Input'!$I148=E$3,'19. Sewer - Capex Input'!$J148,0)</f>
        <v>758332.5</v>
      </c>
      <c r="F667" s="30">
        <f>IF('19. Sewer - Capex Input'!$I148=F$3,'19. Sewer - Capex Input'!$J148,0)</f>
        <v>0</v>
      </c>
      <c r="G667" s="30">
        <f>IF('19. Sewer - Capex Input'!$I148=G$3,'19. Sewer - Capex Input'!$J148,0)</f>
        <v>0</v>
      </c>
      <c r="H667" s="30">
        <f>IF('19. Sewer - Capex Input'!$I148=H$3,'19. Sewer - Capex Input'!$J148,0)</f>
        <v>0</v>
      </c>
    </row>
    <row r="668" spans="2:8">
      <c r="B668" s="152" t="str">
        <f t="shared" si="27"/>
        <v>Carndo Year 4 Reduction</v>
      </c>
      <c r="D668" s="30">
        <f>IF('19. Sewer - Capex Input'!$I149=D$3,'19. Sewer - Capex Input'!$J149,0)</f>
        <v>0</v>
      </c>
      <c r="E668" s="30">
        <f>IF('19. Sewer - Capex Input'!$I149=E$3,'19. Sewer - Capex Input'!$J149,0)</f>
        <v>0</v>
      </c>
      <c r="F668" s="30">
        <f>IF('19. Sewer - Capex Input'!$I149=F$3,'19. Sewer - Capex Input'!$J149,0)</f>
        <v>0</v>
      </c>
      <c r="G668" s="30">
        <f>IF('19. Sewer - Capex Input'!$I149=G$3,'19. Sewer - Capex Input'!$J149,0)</f>
        <v>-7919158.6945932349</v>
      </c>
      <c r="H668" s="30">
        <f>IF('19. Sewer - Capex Input'!$I149=H$3,'19. Sewer - Capex Input'!$J149,0)</f>
        <v>0</v>
      </c>
    </row>
    <row r="669" spans="2:8">
      <c r="B669" s="152" t="str">
        <f t="shared" si="27"/>
        <v>Carndo Year 5 Reduction</v>
      </c>
      <c r="D669" s="30">
        <f>IF('19. Sewer - Capex Input'!$I150=D$3,'19. Sewer - Capex Input'!$J150,0)</f>
        <v>0</v>
      </c>
      <c r="E669" s="30">
        <f>IF('19. Sewer - Capex Input'!$I150=E$3,'19. Sewer - Capex Input'!$J150,0)</f>
        <v>0</v>
      </c>
      <c r="F669" s="30">
        <f>IF('19. Sewer - Capex Input'!$I150=F$3,'19. Sewer - Capex Input'!$J150,0)</f>
        <v>0</v>
      </c>
      <c r="G669" s="30">
        <f>IF('19. Sewer - Capex Input'!$I150=G$3,'19. Sewer - Capex Input'!$J150,0)</f>
        <v>0</v>
      </c>
      <c r="H669" s="30">
        <f>IF('19. Sewer - Capex Input'!$I150=H$3,'19. Sewer - Capex Input'!$J150,0)</f>
        <v>-6245743.3486538343</v>
      </c>
    </row>
    <row r="670" spans="2:8">
      <c r="B670" s="152">
        <f t="shared" si="27"/>
        <v>0</v>
      </c>
      <c r="D670" s="30">
        <f>IF('19. Sewer - Capex Input'!$I151=D$3,'19. Sewer - Capex Input'!$J151,0)</f>
        <v>0</v>
      </c>
      <c r="E670" s="30">
        <f>IF('19. Sewer - Capex Input'!$I151=E$3,'19. Sewer - Capex Input'!$J151,0)</f>
        <v>0</v>
      </c>
      <c r="F670" s="30">
        <f>IF('19. Sewer - Capex Input'!$I151=F$3,'19. Sewer - Capex Input'!$J151,0)</f>
        <v>0</v>
      </c>
      <c r="G670" s="30">
        <f>IF('19. Sewer - Capex Input'!$I151=G$3,'19. Sewer - Capex Input'!$J151,0)</f>
        <v>0</v>
      </c>
      <c r="H670" s="30">
        <f>IF('19. Sewer - Capex Input'!$I151=H$3,'19. Sewer - Capex Input'!$J151,0)</f>
        <v>0</v>
      </c>
    </row>
    <row r="671" spans="2:8">
      <c r="B671" s="152">
        <f t="shared" si="27"/>
        <v>0</v>
      </c>
      <c r="D671" s="30">
        <f>IF('19. Sewer - Capex Input'!$I152=D$3,'19. Sewer - Capex Input'!$J152,0)</f>
        <v>0</v>
      </c>
      <c r="E671" s="30">
        <f>IF('19. Sewer - Capex Input'!$I152=E$3,'19. Sewer - Capex Input'!$J152,0)</f>
        <v>0</v>
      </c>
      <c r="F671" s="30">
        <f>IF('19. Sewer - Capex Input'!$I152=F$3,'19. Sewer - Capex Input'!$J152,0)</f>
        <v>0</v>
      </c>
      <c r="G671" s="30">
        <f>IF('19. Sewer - Capex Input'!$I152=G$3,'19. Sewer - Capex Input'!$J152,0)</f>
        <v>0</v>
      </c>
      <c r="H671" s="30">
        <f>IF('19. Sewer - Capex Input'!$I152=H$3,'19. Sewer - Capex Input'!$J152,0)</f>
        <v>0</v>
      </c>
    </row>
    <row r="672" spans="2:8">
      <c r="B672" s="152">
        <f t="shared" si="27"/>
        <v>0</v>
      </c>
      <c r="D672" s="30">
        <f>IF('19. Sewer - Capex Input'!$I153=D$3,'19. Sewer - Capex Input'!$J153,0)</f>
        <v>0</v>
      </c>
      <c r="E672" s="30">
        <f>IF('19. Sewer - Capex Input'!$I153=E$3,'19. Sewer - Capex Input'!$J153,0)</f>
        <v>0</v>
      </c>
      <c r="F672" s="30">
        <f>IF('19. Sewer - Capex Input'!$I153=F$3,'19. Sewer - Capex Input'!$J153,0)</f>
        <v>0</v>
      </c>
      <c r="G672" s="30">
        <f>IF('19. Sewer - Capex Input'!$I153=G$3,'19. Sewer - Capex Input'!$J153,0)</f>
        <v>0</v>
      </c>
      <c r="H672" s="30">
        <f>IF('19. Sewer - Capex Input'!$I153=H$3,'19. Sewer - Capex Input'!$J153,0)</f>
        <v>0</v>
      </c>
    </row>
    <row r="673" spans="2:8">
      <c r="B673" s="152">
        <f t="shared" si="27"/>
        <v>0</v>
      </c>
      <c r="D673" s="30">
        <f>IF('19. Sewer - Capex Input'!$I154=D$3,'19. Sewer - Capex Input'!$J154,0)</f>
        <v>0</v>
      </c>
      <c r="E673" s="30">
        <f>IF('19. Sewer - Capex Input'!$I154=E$3,'19. Sewer - Capex Input'!$J154,0)</f>
        <v>0</v>
      </c>
      <c r="F673" s="30">
        <f>IF('19. Sewer - Capex Input'!$I154=F$3,'19. Sewer - Capex Input'!$J154,0)</f>
        <v>0</v>
      </c>
      <c r="G673" s="30">
        <f>IF('19. Sewer - Capex Input'!$I154=G$3,'19. Sewer - Capex Input'!$J154,0)</f>
        <v>0</v>
      </c>
      <c r="H673" s="30">
        <f>IF('19. Sewer - Capex Input'!$I154=H$3,'19. Sewer - Capex Input'!$J154,0)</f>
        <v>0</v>
      </c>
    </row>
    <row r="674" spans="2:8">
      <c r="B674" s="152">
        <f t="shared" si="27"/>
        <v>0</v>
      </c>
      <c r="D674" s="30">
        <f>IF('19. Sewer - Capex Input'!$I155=D$3,'19. Sewer - Capex Input'!$J155,0)</f>
        <v>0</v>
      </c>
      <c r="E674" s="30">
        <f>IF('19. Sewer - Capex Input'!$I155=E$3,'19. Sewer - Capex Input'!$J155,0)</f>
        <v>0</v>
      </c>
      <c r="F674" s="30">
        <f>IF('19. Sewer - Capex Input'!$I155=F$3,'19. Sewer - Capex Input'!$J155,0)</f>
        <v>0</v>
      </c>
      <c r="G674" s="30">
        <f>IF('19. Sewer - Capex Input'!$I155=G$3,'19. Sewer - Capex Input'!$J155,0)</f>
        <v>0</v>
      </c>
      <c r="H674" s="30">
        <f>IF('19. Sewer - Capex Input'!$I155=H$3,'19. Sewer - Capex Input'!$J155,0)</f>
        <v>0</v>
      </c>
    </row>
    <row r="675" spans="2:8">
      <c r="B675" s="152">
        <f t="shared" si="27"/>
        <v>0</v>
      </c>
      <c r="D675" s="30">
        <f>IF('19. Sewer - Capex Input'!$I156=D$3,'19. Sewer - Capex Input'!$J156,0)</f>
        <v>0</v>
      </c>
      <c r="E675" s="30">
        <f>IF('19. Sewer - Capex Input'!$I156=E$3,'19. Sewer - Capex Input'!$J156,0)</f>
        <v>0</v>
      </c>
      <c r="F675" s="30">
        <f>IF('19. Sewer - Capex Input'!$I156=F$3,'19. Sewer - Capex Input'!$J156,0)</f>
        <v>0</v>
      </c>
      <c r="G675" s="30">
        <f>IF('19. Sewer - Capex Input'!$I156=G$3,'19. Sewer - Capex Input'!$J156,0)</f>
        <v>0</v>
      </c>
      <c r="H675" s="30">
        <f>IF('19. Sewer - Capex Input'!$I156=H$3,'19. Sewer - Capex Input'!$J156,0)</f>
        <v>0</v>
      </c>
    </row>
    <row r="676" spans="2:8">
      <c r="B676" s="152">
        <f t="shared" si="27"/>
        <v>0</v>
      </c>
      <c r="D676" s="30">
        <f>IF('19. Sewer - Capex Input'!$I157=D$3,'19. Sewer - Capex Input'!$J157,0)</f>
        <v>0</v>
      </c>
      <c r="E676" s="30">
        <f>IF('19. Sewer - Capex Input'!$I157=E$3,'19. Sewer - Capex Input'!$J157,0)</f>
        <v>0</v>
      </c>
      <c r="F676" s="30">
        <f>IF('19. Sewer - Capex Input'!$I157=F$3,'19. Sewer - Capex Input'!$J157,0)</f>
        <v>0</v>
      </c>
      <c r="G676" s="30">
        <f>IF('19. Sewer - Capex Input'!$I157=G$3,'19. Sewer - Capex Input'!$J157,0)</f>
        <v>0</v>
      </c>
      <c r="H676" s="30">
        <f>IF('19. Sewer - Capex Input'!$I157=H$3,'19. Sewer - Capex Input'!$J157,0)</f>
        <v>0</v>
      </c>
    </row>
    <row r="677" spans="2:8">
      <c r="B677" s="152">
        <f t="shared" si="27"/>
        <v>0</v>
      </c>
      <c r="D677" s="30">
        <f>IF('19. Sewer - Capex Input'!$I158=D$3,'19. Sewer - Capex Input'!$J158,0)</f>
        <v>0</v>
      </c>
      <c r="E677" s="30">
        <f>IF('19. Sewer - Capex Input'!$I158=E$3,'19. Sewer - Capex Input'!$J158,0)</f>
        <v>0</v>
      </c>
      <c r="F677" s="30">
        <f>IF('19. Sewer - Capex Input'!$I158=F$3,'19. Sewer - Capex Input'!$J158,0)</f>
        <v>0</v>
      </c>
      <c r="G677" s="30">
        <f>IF('19. Sewer - Capex Input'!$I158=G$3,'19. Sewer - Capex Input'!$J158,0)</f>
        <v>0</v>
      </c>
      <c r="H677" s="30">
        <f>IF('19. Sewer - Capex Input'!$I158=H$3,'19. Sewer - Capex Input'!$J158,0)</f>
        <v>0</v>
      </c>
    </row>
    <row r="678" spans="2:8">
      <c r="B678" s="152">
        <f t="shared" si="27"/>
        <v>0</v>
      </c>
      <c r="D678" s="30">
        <f>IF('19. Sewer - Capex Input'!$I159=D$3,'19. Sewer - Capex Input'!$J159,0)</f>
        <v>0</v>
      </c>
      <c r="E678" s="30">
        <f>IF('19. Sewer - Capex Input'!$I159=E$3,'19. Sewer - Capex Input'!$J159,0)</f>
        <v>0</v>
      </c>
      <c r="F678" s="30">
        <f>IF('19. Sewer - Capex Input'!$I159=F$3,'19. Sewer - Capex Input'!$J159,0)</f>
        <v>0</v>
      </c>
      <c r="G678" s="30">
        <f>IF('19. Sewer - Capex Input'!$I159=G$3,'19. Sewer - Capex Input'!$J159,0)</f>
        <v>0</v>
      </c>
      <c r="H678" s="30">
        <f>IF('19. Sewer - Capex Input'!$I159=H$3,'19. Sewer - Capex Input'!$J159,0)</f>
        <v>0</v>
      </c>
    </row>
    <row r="679" spans="2:8">
      <c r="B679" s="152">
        <f t="shared" si="27"/>
        <v>0</v>
      </c>
      <c r="D679" s="30">
        <f>IF('19. Sewer - Capex Input'!$I160=D$3,'19. Sewer - Capex Input'!$J160,0)</f>
        <v>0</v>
      </c>
      <c r="E679" s="30">
        <f>IF('19. Sewer - Capex Input'!$I160=E$3,'19. Sewer - Capex Input'!$J160,0)</f>
        <v>0</v>
      </c>
      <c r="F679" s="30">
        <f>IF('19. Sewer - Capex Input'!$I160=F$3,'19. Sewer - Capex Input'!$J160,0)</f>
        <v>0</v>
      </c>
      <c r="G679" s="30">
        <f>IF('19. Sewer - Capex Input'!$I160=G$3,'19. Sewer - Capex Input'!$J160,0)</f>
        <v>0</v>
      </c>
      <c r="H679" s="30">
        <f>IF('19. Sewer - Capex Input'!$I160=H$3,'19. Sewer - Capex Input'!$J160,0)</f>
        <v>0</v>
      </c>
    </row>
    <row r="680" spans="2:8">
      <c r="B680" s="152">
        <f t="shared" si="27"/>
        <v>0</v>
      </c>
      <c r="D680" s="30">
        <f>IF('19. Sewer - Capex Input'!$I161=D$3,'19. Sewer - Capex Input'!$J161,0)</f>
        <v>0</v>
      </c>
      <c r="E680" s="30">
        <f>IF('19. Sewer - Capex Input'!$I161=E$3,'19. Sewer - Capex Input'!$J161,0)</f>
        <v>0</v>
      </c>
      <c r="F680" s="30">
        <f>IF('19. Sewer - Capex Input'!$I161=F$3,'19. Sewer - Capex Input'!$J161,0)</f>
        <v>0</v>
      </c>
      <c r="G680" s="30">
        <f>IF('19. Sewer - Capex Input'!$I161=G$3,'19. Sewer - Capex Input'!$J161,0)</f>
        <v>0</v>
      </c>
      <c r="H680" s="30">
        <f>IF('19. Sewer - Capex Input'!$I161=H$3,'19. Sewer - Capex Input'!$J161,0)</f>
        <v>0</v>
      </c>
    </row>
    <row r="681" spans="2:8">
      <c r="B681" s="152">
        <f t="shared" si="27"/>
        <v>0</v>
      </c>
      <c r="D681" s="30">
        <f>IF('19. Sewer - Capex Input'!$I162=D$3,'19. Sewer - Capex Input'!$J162,0)</f>
        <v>0</v>
      </c>
      <c r="E681" s="30">
        <f>IF('19. Sewer - Capex Input'!$I162=E$3,'19. Sewer - Capex Input'!$J162,0)</f>
        <v>0</v>
      </c>
      <c r="F681" s="30">
        <f>IF('19. Sewer - Capex Input'!$I162=F$3,'19. Sewer - Capex Input'!$J162,0)</f>
        <v>0</v>
      </c>
      <c r="G681" s="30">
        <f>IF('19. Sewer - Capex Input'!$I162=G$3,'19. Sewer - Capex Input'!$J162,0)</f>
        <v>0</v>
      </c>
      <c r="H681" s="30">
        <f>IF('19. Sewer - Capex Input'!$I162=H$3,'19. Sewer - Capex Input'!$J162,0)</f>
        <v>0</v>
      </c>
    </row>
    <row r="682" spans="2:8">
      <c r="B682" s="152">
        <f t="shared" si="27"/>
        <v>0</v>
      </c>
      <c r="D682" s="30">
        <f>IF('19. Sewer - Capex Input'!$I163=D$3,'19. Sewer - Capex Input'!$J163,0)</f>
        <v>0</v>
      </c>
      <c r="E682" s="30">
        <f>IF('19. Sewer - Capex Input'!$I163=E$3,'19. Sewer - Capex Input'!$J163,0)</f>
        <v>0</v>
      </c>
      <c r="F682" s="30">
        <f>IF('19. Sewer - Capex Input'!$I163=F$3,'19. Sewer - Capex Input'!$J163,0)</f>
        <v>0</v>
      </c>
      <c r="G682" s="30">
        <f>IF('19. Sewer - Capex Input'!$I163=G$3,'19. Sewer - Capex Input'!$J163,0)</f>
        <v>0</v>
      </c>
      <c r="H682" s="30">
        <f>IF('19. Sewer - Capex Input'!$I163=H$3,'19. Sewer - Capex Input'!$J163,0)</f>
        <v>0</v>
      </c>
    </row>
    <row r="683" spans="2:8">
      <c r="B683" s="152">
        <f t="shared" si="27"/>
        <v>0</v>
      </c>
      <c r="D683" s="30">
        <f>IF('19. Sewer - Capex Input'!$I164=D$3,'19. Sewer - Capex Input'!$J164,0)</f>
        <v>0</v>
      </c>
      <c r="E683" s="30">
        <f>IF('19. Sewer - Capex Input'!$I164=E$3,'19. Sewer - Capex Input'!$J164,0)</f>
        <v>0</v>
      </c>
      <c r="F683" s="30">
        <f>IF('19. Sewer - Capex Input'!$I164=F$3,'19. Sewer - Capex Input'!$J164,0)</f>
        <v>0</v>
      </c>
      <c r="G683" s="30">
        <f>IF('19. Sewer - Capex Input'!$I164=G$3,'19. Sewer - Capex Input'!$J164,0)</f>
        <v>0</v>
      </c>
      <c r="H683" s="30">
        <f>IF('19. Sewer - Capex Input'!$I164=H$3,'19. Sewer - Capex Input'!$J164,0)</f>
        <v>0</v>
      </c>
    </row>
    <row r="684" spans="2:8">
      <c r="B684" s="152">
        <f t="shared" si="27"/>
        <v>0</v>
      </c>
      <c r="D684" s="30">
        <f>IF('19. Sewer - Capex Input'!$I165=D$3,'19. Sewer - Capex Input'!$J165,0)</f>
        <v>0</v>
      </c>
      <c r="E684" s="30">
        <f>IF('19. Sewer - Capex Input'!$I165=E$3,'19. Sewer - Capex Input'!$J165,0)</f>
        <v>0</v>
      </c>
      <c r="F684" s="30">
        <f>IF('19. Sewer - Capex Input'!$I165=F$3,'19. Sewer - Capex Input'!$J165,0)</f>
        <v>0</v>
      </c>
      <c r="G684" s="30">
        <f>IF('19. Sewer - Capex Input'!$I165=G$3,'19. Sewer - Capex Input'!$J165,0)</f>
        <v>0</v>
      </c>
      <c r="H684" s="30">
        <f>IF('19. Sewer - Capex Input'!$I165=H$3,'19. Sewer - Capex Input'!$J165,0)</f>
        <v>0</v>
      </c>
    </row>
    <row r="685" spans="2:8">
      <c r="B685" s="152">
        <f t="shared" si="27"/>
        <v>0</v>
      </c>
      <c r="D685" s="30">
        <f>IF('19. Sewer - Capex Input'!$I166=D$3,'19. Sewer - Capex Input'!$J166,0)</f>
        <v>0</v>
      </c>
      <c r="E685" s="30">
        <f>IF('19. Sewer - Capex Input'!$I166=E$3,'19. Sewer - Capex Input'!$J166,0)</f>
        <v>0</v>
      </c>
      <c r="F685" s="30">
        <f>IF('19. Sewer - Capex Input'!$I166=F$3,'19. Sewer - Capex Input'!$J166,0)</f>
        <v>0</v>
      </c>
      <c r="G685" s="30">
        <f>IF('19. Sewer - Capex Input'!$I166=G$3,'19. Sewer - Capex Input'!$J166,0)</f>
        <v>0</v>
      </c>
      <c r="H685" s="30">
        <f>IF('19. Sewer - Capex Input'!$I166=H$3,'19. Sewer - Capex Input'!$J166,0)</f>
        <v>0</v>
      </c>
    </row>
    <row r="686" spans="2:8">
      <c r="B686" s="152">
        <f t="shared" si="27"/>
        <v>0</v>
      </c>
      <c r="D686" s="30">
        <f>IF('19. Sewer - Capex Input'!$I167=D$3,'19. Sewer - Capex Input'!$J167,0)</f>
        <v>0</v>
      </c>
      <c r="E686" s="30">
        <f>IF('19. Sewer - Capex Input'!$I167=E$3,'19. Sewer - Capex Input'!$J167,0)</f>
        <v>0</v>
      </c>
      <c r="F686" s="30">
        <f>IF('19. Sewer - Capex Input'!$I167=F$3,'19. Sewer - Capex Input'!$J167,0)</f>
        <v>0</v>
      </c>
      <c r="G686" s="30">
        <f>IF('19. Sewer - Capex Input'!$I167=G$3,'19. Sewer - Capex Input'!$J167,0)</f>
        <v>0</v>
      </c>
      <c r="H686" s="30">
        <f>IF('19. Sewer - Capex Input'!$I167=H$3,'19. Sewer - Capex Input'!$J167,0)</f>
        <v>0</v>
      </c>
    </row>
    <row r="687" spans="2:8">
      <c r="B687" s="152" t="s">
        <v>55</v>
      </c>
      <c r="D687" s="48">
        <f>SUM(D523:D686)</f>
        <v>18109193.155000001</v>
      </c>
      <c r="E687" s="48">
        <f>SUM(E523:E686)</f>
        <v>38228808.72733333</v>
      </c>
      <c r="F687" s="48">
        <f>SUM(F523:F686)</f>
        <v>65574843.814870872</v>
      </c>
      <c r="G687" s="48">
        <f>SUM(G523:G686)</f>
        <v>109864792.71068065</v>
      </c>
      <c r="H687" s="48">
        <f>SUM(H523:H686)</f>
        <v>70187218.442713186</v>
      </c>
    </row>
    <row r="688" spans="2:8">
      <c r="B688" s="152"/>
      <c r="D688" s="70"/>
      <c r="E688" s="70"/>
      <c r="F688" s="70"/>
      <c r="G688" s="70"/>
      <c r="H688" s="70"/>
    </row>
    <row r="689" spans="2:8" ht="15.75">
      <c r="B689" s="151" t="s">
        <v>12</v>
      </c>
      <c r="D689" s="30"/>
      <c r="E689" s="30"/>
      <c r="F689" s="30"/>
      <c r="G689" s="30"/>
      <c r="H689" s="30"/>
    </row>
    <row r="690" spans="2:8">
      <c r="B690" s="152">
        <f>B523</f>
        <v>0</v>
      </c>
      <c r="D690" s="30">
        <f ca="1">(D189+D356+'3. General Model Inputs'!$D$53*D523)*D$6</f>
        <v>2069.2658124999998</v>
      </c>
      <c r="E690" s="30">
        <f ca="1">(E189+E356+'3. General Model Inputs'!$D$53*E523)*E$6</f>
        <v>4154.9133126822917</v>
      </c>
      <c r="F690" s="30">
        <f ca="1">(F189+F356+'3. General Model Inputs'!$D$53*F523)*F$6</f>
        <v>4186.6033294739364</v>
      </c>
      <c r="G690" s="30">
        <f ca="1">(G189+G356+'3. General Model Inputs'!$D$53*G523)*G$6</f>
        <v>4217.281026284737</v>
      </c>
      <c r="H690" s="30">
        <f ca="1">(H189+H356+'3. General Model Inputs'!$D$53*H523)*H$6</f>
        <v>4246.8759808551558</v>
      </c>
    </row>
    <row r="691" spans="2:8">
      <c r="B691" s="152">
        <f t="shared" ref="B691:B754" si="28">B524</f>
        <v>0</v>
      </c>
      <c r="D691" s="30">
        <f ca="1">(D190+D357+'3. General Model Inputs'!$D$53*D524)*D$6</f>
        <v>0</v>
      </c>
      <c r="E691" s="30">
        <f ca="1">(E190+E357+'3. General Model Inputs'!$D$53*E524)*E$6</f>
        <v>6362.3209375000006</v>
      </c>
      <c r="F691" s="30">
        <f ca="1">(F190+F357+'3. General Model Inputs'!$D$53*F524)*F$6</f>
        <v>12775.010249088542</v>
      </c>
      <c r="G691" s="30">
        <f ca="1">(G190+G357+'3. General Model Inputs'!$D$53*G524)*G$6</f>
        <v>12872.446767937523</v>
      </c>
      <c r="H691" s="30">
        <f ca="1">(H190+H357+'3. General Model Inputs'!$D$53*H524)*H$6</f>
        <v>12966.770731323273</v>
      </c>
    </row>
    <row r="692" spans="2:8">
      <c r="B692" s="152">
        <f t="shared" si="28"/>
        <v>0</v>
      </c>
      <c r="D692" s="30">
        <f ca="1">(D191+D358+'3. General Model Inputs'!$D$53*D525)*D$6</f>
        <v>0</v>
      </c>
      <c r="E692" s="30">
        <f ca="1">(E191+E358+'3. General Model Inputs'!$D$53*E525)*E$6</f>
        <v>0</v>
      </c>
      <c r="F692" s="30">
        <f ca="1">(F191+F358+'3. General Model Inputs'!$D$53*F525)*F$6</f>
        <v>1317.91875</v>
      </c>
      <c r="G692" s="30">
        <f ca="1">(G191+G358+'3. General Model Inputs'!$D$53*G525)*G$6</f>
        <v>2646.2710234375004</v>
      </c>
      <c r="H692" s="30">
        <f ca="1">(H191+H358+'3. General Model Inputs'!$D$53*H525)*H$6</f>
        <v>2666.454446497617</v>
      </c>
    </row>
    <row r="693" spans="2:8">
      <c r="B693" s="152">
        <f t="shared" si="28"/>
        <v>0</v>
      </c>
      <c r="D693" s="30">
        <f ca="1">(D192+D359+'3. General Model Inputs'!$D$53*D526)*D$6</f>
        <v>1228.9442500000002</v>
      </c>
      <c r="E693" s="30">
        <f ca="1">(E192+E359+'3. General Model Inputs'!$D$53*E526)*E$6</f>
        <v>2404.6342491666669</v>
      </c>
      <c r="F693" s="30">
        <f ca="1">(F192+F359+'3. General Model Inputs'!$D$53*F526)*F$6</f>
        <v>2288.6965264389887</v>
      </c>
      <c r="G693" s="30">
        <f ca="1">(G192+G359+'3. General Model Inputs'!$D$53*G526)*G$6</f>
        <v>2165.4590211691971</v>
      </c>
      <c r="H693" s="30">
        <f ca="1">(H192+H359+'3. General Model Inputs'!$D$53*H526)*H$6</f>
        <v>2034.6292053068912</v>
      </c>
    </row>
    <row r="694" spans="2:8">
      <c r="B694" s="152">
        <f t="shared" si="28"/>
        <v>0</v>
      </c>
      <c r="D694" s="30">
        <f ca="1">(D193+D360+'3. General Model Inputs'!$D$53*D527)*D$6</f>
        <v>0</v>
      </c>
      <c r="E694" s="30">
        <f ca="1">(E193+E360+'3. General Model Inputs'!$D$53*E527)*E$6</f>
        <v>52.863687500000005</v>
      </c>
      <c r="F694" s="30">
        <f ca="1">(F193+F360+'3. General Model Inputs'!$D$53*F527)*F$6</f>
        <v>103.43661520833335</v>
      </c>
      <c r="G694" s="30">
        <f ca="1">(G193+G360+'3. General Model Inputs'!$D$53*G527)*G$6</f>
        <v>98.449492689360127</v>
      </c>
      <c r="H694" s="30">
        <f ca="1">(H193+H360+'3. General Model Inputs'!$D$53*H527)*H$6</f>
        <v>93.148366159933062</v>
      </c>
    </row>
    <row r="695" spans="2:8">
      <c r="B695" s="152">
        <f t="shared" si="28"/>
        <v>0</v>
      </c>
      <c r="D695" s="30">
        <f ca="1">(D194+D361+'3. General Model Inputs'!$D$53*D528)*D$6</f>
        <v>3414.7025000000003</v>
      </c>
      <c r="E695" s="30">
        <f ca="1">(E194+E361+'3. General Model Inputs'!$D$53*E528)*E$6</f>
        <v>6856.4380614583342</v>
      </c>
      <c r="F695" s="30">
        <f ca="1">(F194+F361+'3. General Model Inputs'!$D$53*F528)*F$6</f>
        <v>6908.7329280287786</v>
      </c>
      <c r="G695" s="30">
        <f ca="1">(G194+G361+'3. General Model Inputs'!$D$53*G528)*G$6</f>
        <v>6959.3572641393348</v>
      </c>
      <c r="H695" s="30">
        <f ca="1">(H194+H361+'3. General Model Inputs'!$D$53*H528)*H$6</f>
        <v>7008.1948589754002</v>
      </c>
    </row>
    <row r="696" spans="2:8">
      <c r="B696" s="152">
        <f t="shared" si="28"/>
        <v>0</v>
      </c>
      <c r="D696" s="30">
        <f ca="1">(D195+D362+'3. General Model Inputs'!$D$53*D529)*D$6</f>
        <v>0</v>
      </c>
      <c r="E696" s="30">
        <f ca="1">(E195+E362+'3. General Model Inputs'!$D$53*E529)*E$6</f>
        <v>22951.918666666668</v>
      </c>
      <c r="F696" s="30">
        <f ca="1">(F195+F362+'3. General Model Inputs'!$D$53*F529)*F$6</f>
        <v>46085.540022777779</v>
      </c>
      <c r="G696" s="30">
        <f ca="1">(G195+G362+'3. General Model Inputs'!$D$53*G529)*G$6</f>
        <v>46437.039904307443</v>
      </c>
      <c r="H696" s="30">
        <f ca="1">(H195+H362+'3. General Model Inputs'!$D$53*H529)*H$6</f>
        <v>46777.311317399348</v>
      </c>
    </row>
    <row r="697" spans="2:8">
      <c r="B697" s="152">
        <f t="shared" si="28"/>
        <v>0</v>
      </c>
      <c r="D697" s="30">
        <f ca="1">(D196+D363+'3. General Model Inputs'!$D$53*D530)*D$6</f>
        <v>0</v>
      </c>
      <c r="E697" s="30">
        <f ca="1">(E196+E363+'3. General Model Inputs'!$D$53*E530)*E$6</f>
        <v>0</v>
      </c>
      <c r="F697" s="30">
        <f ca="1">(F196+F363+'3. General Model Inputs'!$D$53*F530)*F$6</f>
        <v>54375</v>
      </c>
      <c r="G697" s="30">
        <f ca="1">(G196+G363+'3. General Model Inputs'!$D$53*G530)*G$6</f>
        <v>109180.46875</v>
      </c>
      <c r="H697" s="30">
        <f ca="1">(H196+H363+'3. General Model Inputs'!$D$53*H530)*H$6</f>
        <v>110013.2011387712</v>
      </c>
    </row>
    <row r="698" spans="2:8">
      <c r="B698" s="152">
        <f t="shared" si="28"/>
        <v>0</v>
      </c>
      <c r="D698" s="30">
        <f ca="1">(D197+D364+'3. General Model Inputs'!$D$53*D531)*D$6</f>
        <v>29020.13625</v>
      </c>
      <c r="E698" s="30">
        <f ca="1">(E197+E364+'3. General Model Inputs'!$D$53*E531)*E$6</f>
        <v>57774.254584375005</v>
      </c>
      <c r="F698" s="30">
        <f ca="1">(F197+F364+'3. General Model Inputs'!$D$53*F531)*F$6</f>
        <v>57176.589881778025</v>
      </c>
      <c r="G698" s="30">
        <f ca="1">(G197+G364+'3. General Model Inputs'!$D$53*G531)*G$6</f>
        <v>56512.933034935959</v>
      </c>
      <c r="H698" s="30">
        <f ca="1">(H197+H364+'3. General Model Inputs'!$D$53*H531)*H$6</f>
        <v>55780.357977075677</v>
      </c>
    </row>
    <row r="699" spans="2:8">
      <c r="B699" s="152">
        <f t="shared" si="28"/>
        <v>0</v>
      </c>
      <c r="D699" s="30">
        <f ca="1">(D198+D365+'3. General Model Inputs'!$D$53*D532)*D$6</f>
        <v>0</v>
      </c>
      <c r="E699" s="30">
        <f ca="1">(E198+E365+'3. General Model Inputs'!$D$53*E532)*E$6</f>
        <v>28588.772249999998</v>
      </c>
      <c r="F699" s="30">
        <f ca="1">(F198+F365+'3. General Model Inputs'!$D$53*F532)*F$6</f>
        <v>56915.480754374992</v>
      </c>
      <c r="G699" s="30">
        <f ca="1">(G198+G365+'3. General Model Inputs'!$D$53*G532)*G$6</f>
        <v>56326.699918984901</v>
      </c>
      <c r="H699" s="30">
        <f ca="1">(H198+H365+'3. General Model Inputs'!$D$53*H532)*H$6</f>
        <v>55672.907866353824</v>
      </c>
    </row>
    <row r="700" spans="2:8">
      <c r="B700" s="152">
        <f t="shared" si="28"/>
        <v>0</v>
      </c>
      <c r="D700" s="30">
        <f ca="1">(D199+D366+'3. General Model Inputs'!$D$53*D533)*D$6</f>
        <v>0</v>
      </c>
      <c r="E700" s="30">
        <f ca="1">(E199+E366+'3. General Model Inputs'!$D$53*E533)*E$6</f>
        <v>0</v>
      </c>
      <c r="F700" s="30">
        <f ca="1">(F199+F366+'3. General Model Inputs'!$D$53*F533)*F$6</f>
        <v>64954.237500000003</v>
      </c>
      <c r="G700" s="30">
        <f ca="1">(G199+G366+'3. General Model Inputs'!$D$53*G533)*G$6</f>
        <v>129313.06115625001</v>
      </c>
      <c r="H700" s="30">
        <f ca="1">(H199+H366+'3. General Model Inputs'!$D$53*H533)*H$6</f>
        <v>127975.33983394397</v>
      </c>
    </row>
    <row r="701" spans="2:8">
      <c r="B701" s="152">
        <f t="shared" si="28"/>
        <v>0</v>
      </c>
      <c r="D701" s="30">
        <f ca="1">(D200+D367+'3. General Model Inputs'!$D$53*D534)*D$6</f>
        <v>0</v>
      </c>
      <c r="E701" s="30">
        <f ca="1">(E200+E367+'3. General Model Inputs'!$D$53*E534)*E$6</f>
        <v>0</v>
      </c>
      <c r="F701" s="30">
        <f ca="1">(F200+F367+'3. General Model Inputs'!$D$53*F534)*F$6</f>
        <v>0</v>
      </c>
      <c r="G701" s="30">
        <f ca="1">(G200+G367+'3. General Model Inputs'!$D$53*G534)*G$6</f>
        <v>495680.13750000001</v>
      </c>
      <c r="H701" s="30">
        <f ca="1">(H200+H367+'3. General Model Inputs'!$D$53*H534)*H$6</f>
        <v>986816.54040625005</v>
      </c>
    </row>
    <row r="702" spans="2:8">
      <c r="B702" s="152">
        <f t="shared" si="28"/>
        <v>0</v>
      </c>
      <c r="D702" s="30">
        <f ca="1">(D201+D368+'3. General Model Inputs'!$D$53*D535)*D$6</f>
        <v>0</v>
      </c>
      <c r="E702" s="30">
        <f ca="1">(E201+E368+'3. General Model Inputs'!$D$53*E535)*E$6</f>
        <v>0</v>
      </c>
      <c r="F702" s="30">
        <f ca="1">(F201+F368+'3. General Model Inputs'!$D$53*F535)*F$6</f>
        <v>0</v>
      </c>
      <c r="G702" s="30">
        <f ca="1">(G201+G368+'3. General Model Inputs'!$D$53*G535)*G$6</f>
        <v>0</v>
      </c>
      <c r="H702" s="30">
        <f ca="1">(H201+H368+'3. General Model Inputs'!$D$53*H535)*H$6</f>
        <v>174367.08750000002</v>
      </c>
    </row>
    <row r="703" spans="2:8">
      <c r="B703" s="152">
        <f t="shared" si="28"/>
        <v>0</v>
      </c>
      <c r="D703" s="30">
        <f ca="1">(D202+D369+'3. General Model Inputs'!$D$53*D536)*D$6</f>
        <v>0</v>
      </c>
      <c r="E703" s="30">
        <f ca="1">(E202+E369+'3. General Model Inputs'!$D$53*E536)*E$6</f>
        <v>121442.40000000001</v>
      </c>
      <c r="F703" s="30">
        <f ca="1">(F202+F369+'3. General Model Inputs'!$D$53*F536)*F$6</f>
        <v>241771.57799999998</v>
      </c>
      <c r="G703" s="30">
        <f ca="1">(G202+G369+'3. General Model Inputs'!$D$53*G536)*G$6</f>
        <v>239270.49271034484</v>
      </c>
      <c r="H703" s="30">
        <f ca="1">(H202+H369+'3. General Model Inputs'!$D$53*H536)*H$6</f>
        <v>236493.24591995688</v>
      </c>
    </row>
    <row r="704" spans="2:8">
      <c r="B704" s="152">
        <f t="shared" si="28"/>
        <v>0</v>
      </c>
      <c r="D704" s="30">
        <f ca="1">(D203+D370+'3. General Model Inputs'!$D$53*D537)*D$6</f>
        <v>0</v>
      </c>
      <c r="E704" s="30">
        <f ca="1">(E203+E370+'3. General Model Inputs'!$D$53*E537)*E$6</f>
        <v>0</v>
      </c>
      <c r="F704" s="30">
        <f ca="1">(F203+F370+'3. General Model Inputs'!$D$53*F537)*F$6</f>
        <v>113269.65000000001</v>
      </c>
      <c r="G704" s="30">
        <f ca="1">(G203+G370+'3. General Model Inputs'!$D$53*G537)*G$6</f>
        <v>225500.994875</v>
      </c>
      <c r="H704" s="30">
        <f ca="1">(H203+H370+'3. General Model Inputs'!$D$53*H537)*H$6</f>
        <v>223168.2259625</v>
      </c>
    </row>
    <row r="705" spans="2:8">
      <c r="B705" s="152">
        <f t="shared" si="28"/>
        <v>0</v>
      </c>
      <c r="D705" s="30">
        <f ca="1">(D204+D371+'3. General Model Inputs'!$D$53*D538)*D$6</f>
        <v>0</v>
      </c>
      <c r="E705" s="30">
        <f ca="1">(E204+E371+'3. General Model Inputs'!$D$53*E538)*E$6</f>
        <v>0</v>
      </c>
      <c r="F705" s="30">
        <f ca="1">(F204+F371+'3. General Model Inputs'!$D$53*F538)*F$6</f>
        <v>0</v>
      </c>
      <c r="G705" s="30">
        <f ca="1">(G204+G371+'3. General Model Inputs'!$D$53*G538)*G$6</f>
        <v>116456.15000000001</v>
      </c>
      <c r="H705" s="30">
        <f ca="1">(H204+H371+'3. General Model Inputs'!$D$53*H538)*H$6</f>
        <v>231844.78529166669</v>
      </c>
    </row>
    <row r="706" spans="2:8">
      <c r="B706" s="152">
        <f t="shared" si="28"/>
        <v>0</v>
      </c>
      <c r="D706" s="30">
        <f ca="1">(D205+D372+'3. General Model Inputs'!$D$53*D539)*D$6</f>
        <v>0</v>
      </c>
      <c r="E706" s="30">
        <f ca="1">(E205+E372+'3. General Model Inputs'!$D$53*E539)*E$6</f>
        <v>0</v>
      </c>
      <c r="F706" s="30">
        <f ca="1">(F205+F372+'3. General Model Inputs'!$D$53*F539)*F$6</f>
        <v>0</v>
      </c>
      <c r="G706" s="30">
        <f ca="1">(G205+G372+'3. General Model Inputs'!$D$53*G539)*G$6</f>
        <v>0</v>
      </c>
      <c r="H706" s="30">
        <f ca="1">(H205+H372+'3. General Model Inputs'!$D$53*H539)*H$6</f>
        <v>119849.77500000001</v>
      </c>
    </row>
    <row r="707" spans="2:8">
      <c r="B707" s="152">
        <f t="shared" si="28"/>
        <v>0</v>
      </c>
      <c r="D707" s="30">
        <f ca="1">(D206+D373+'3. General Model Inputs'!$D$53*D540)*D$6</f>
        <v>0</v>
      </c>
      <c r="E707" s="30">
        <f ca="1">(E206+E373+'3. General Model Inputs'!$D$53*E540)*E$6</f>
        <v>3425.2278500000002</v>
      </c>
      <c r="F707" s="30">
        <f ca="1">(F206+F373+'3. General Model Inputs'!$D$53*F540)*F$6</f>
        <v>6892.2006644218754</v>
      </c>
      <c r="G707" s="30">
        <f ca="1">(G206+G373+'3. General Model Inputs'!$D$53*G540)*G$6</f>
        <v>6975.0815584877091</v>
      </c>
      <c r="H707" s="30">
        <f ca="1">(H206+H373+'3. General Model Inputs'!$D$53*H540)*H$6</f>
        <v>7057.79887184157</v>
      </c>
    </row>
    <row r="708" spans="2:8">
      <c r="B708" s="152">
        <f t="shared" si="28"/>
        <v>0</v>
      </c>
      <c r="D708" s="30">
        <f ca="1">(D207+D374+'3. General Model Inputs'!$D$53*D541)*D$6</f>
        <v>0</v>
      </c>
      <c r="E708" s="30">
        <f ca="1">(E207+E374+'3. General Model Inputs'!$D$53*E541)*E$6</f>
        <v>0</v>
      </c>
      <c r="F708" s="30">
        <f ca="1">(F207+F374+'3. General Model Inputs'!$D$53*F541)*F$6</f>
        <v>102905.40000000001</v>
      </c>
      <c r="G708" s="30">
        <f ca="1">(G207+G374+'3. General Model Inputs'!$D$53*G541)*G$6</f>
        <v>207064.95956250001</v>
      </c>
      <c r="H708" s="30">
        <f ca="1">(H207+H374+'3. General Model Inputs'!$D$53*H541)*H$6</f>
        <v>209554.98122812499</v>
      </c>
    </row>
    <row r="709" spans="2:8">
      <c r="B709" s="152">
        <f t="shared" si="28"/>
        <v>0</v>
      </c>
      <c r="D709" s="30">
        <f ca="1">(D208+D375+'3. General Model Inputs'!$D$53*D542)*D$6</f>
        <v>0</v>
      </c>
      <c r="E709" s="30">
        <f ca="1">(E208+E375+'3. General Model Inputs'!$D$53*E542)*E$6</f>
        <v>0</v>
      </c>
      <c r="F709" s="30">
        <f ca="1">(F208+F375+'3. General Model Inputs'!$D$53*F542)*F$6</f>
        <v>0</v>
      </c>
      <c r="G709" s="30">
        <f ca="1">(G208+G375+'3. General Model Inputs'!$D$53*G542)*G$6</f>
        <v>145834.38750000001</v>
      </c>
      <c r="H709" s="30">
        <f ca="1">(H208+H375+'3. General Model Inputs'!$D$53*H542)*H$6</f>
        <v>293446.13159765623</v>
      </c>
    </row>
    <row r="710" spans="2:8">
      <c r="B710" s="152">
        <f t="shared" si="28"/>
        <v>0</v>
      </c>
      <c r="D710" s="30">
        <f ca="1">(D209+D376+'3. General Model Inputs'!$D$53*D543)*D$6</f>
        <v>0</v>
      </c>
      <c r="E710" s="30">
        <f ca="1">(E209+E376+'3. General Model Inputs'!$D$53*E543)*E$6</f>
        <v>0</v>
      </c>
      <c r="F710" s="30">
        <f ca="1">(F209+F376+'3. General Model Inputs'!$D$53*F543)*F$6</f>
        <v>0</v>
      </c>
      <c r="G710" s="30">
        <f ca="1">(G209+G376+'3. General Model Inputs'!$D$53*G543)*G$6</f>
        <v>0</v>
      </c>
      <c r="H710" s="30">
        <f ca="1">(H209+H376+'3. General Model Inputs'!$D$53*H543)*H$6</f>
        <v>51691.662500000006</v>
      </c>
    </row>
    <row r="711" spans="2:8">
      <c r="B711" s="152">
        <f t="shared" si="28"/>
        <v>0</v>
      </c>
      <c r="D711" s="30">
        <f ca="1">(D210+D377+'3. General Model Inputs'!$D$53*D544)*D$6</f>
        <v>0</v>
      </c>
      <c r="E711" s="30">
        <f ca="1">(E210+E377+'3. General Model Inputs'!$D$53*E544)*E$6</f>
        <v>53750</v>
      </c>
      <c r="F711" s="30">
        <f ca="1">(F210+F377+'3. General Model Inputs'!$D$53*F544)*F$6</f>
        <v>107007.29166666669</v>
      </c>
      <c r="G711" s="30">
        <f ca="1">(G210+G377+'3. General Model Inputs'!$D$53*G544)*G$6</f>
        <v>105900.31968390808</v>
      </c>
      <c r="H711" s="30">
        <f ca="1">(H210+H377+'3. General Model Inputs'!$D$53*H544)*H$6</f>
        <v>104671.11954471987</v>
      </c>
    </row>
    <row r="712" spans="2:8">
      <c r="B712" s="152">
        <f t="shared" si="28"/>
        <v>0</v>
      </c>
      <c r="D712" s="30">
        <f ca="1">(D211+D378+'3. General Model Inputs'!$D$53*D545)*D$6</f>
        <v>0</v>
      </c>
      <c r="E712" s="30">
        <f ca="1">(E211+E378+'3. General Model Inputs'!$D$53*E545)*E$6</f>
        <v>0</v>
      </c>
      <c r="F712" s="30">
        <f ca="1">(F211+F378+'3. General Model Inputs'!$D$53*F545)*F$6</f>
        <v>227500</v>
      </c>
      <c r="G712" s="30">
        <f ca="1">(G211+G378+'3. General Model Inputs'!$D$53*G545)*G$6</f>
        <v>452914.58333333331</v>
      </c>
      <c r="H712" s="30">
        <f ca="1">(H211+H378+'3. General Model Inputs'!$D$53*H545)*H$6</f>
        <v>448229.26005747123</v>
      </c>
    </row>
    <row r="713" spans="2:8">
      <c r="B713" s="152">
        <f t="shared" si="28"/>
        <v>0</v>
      </c>
      <c r="D713" s="30">
        <f ca="1">(D212+D379+'3. General Model Inputs'!$D$53*D546)*D$6</f>
        <v>0</v>
      </c>
      <c r="E713" s="30">
        <f ca="1">(E212+E379+'3. General Model Inputs'!$D$53*E546)*E$6</f>
        <v>0</v>
      </c>
      <c r="F713" s="30">
        <f ca="1">(F212+F379+'3. General Model Inputs'!$D$53*F546)*F$6</f>
        <v>6751.5750000000007</v>
      </c>
      <c r="G713" s="30">
        <f ca="1">(G212+G379+'3. General Model Inputs'!$D$53*G546)*G$6</f>
        <v>13441.2605625</v>
      </c>
      <c r="H713" s="30">
        <f ca="1">(H212+H379+'3. General Model Inputs'!$D$53*H546)*H$6</f>
        <v>13302.213039439655</v>
      </c>
    </row>
    <row r="714" spans="2:8">
      <c r="B714" s="152">
        <f t="shared" si="28"/>
        <v>0</v>
      </c>
      <c r="D714" s="30">
        <f ca="1">(D213+D380+'3. General Model Inputs'!$D$53*D547)*D$6</f>
        <v>0</v>
      </c>
      <c r="E714" s="30">
        <f ca="1">(E213+E380+'3. General Model Inputs'!$D$53*E547)*E$6</f>
        <v>0</v>
      </c>
      <c r="F714" s="30">
        <f ca="1">(F213+F380+'3. General Model Inputs'!$D$53*F547)*F$6</f>
        <v>0</v>
      </c>
      <c r="G714" s="30">
        <f ca="1">(G213+G380+'3. General Model Inputs'!$D$53*G547)*G$6</f>
        <v>97404.487500000003</v>
      </c>
      <c r="H714" s="30">
        <f ca="1">(H213+H380+'3. General Model Inputs'!$D$53*H547)*H$6</f>
        <v>193916.10053125001</v>
      </c>
    </row>
    <row r="715" spans="2:8">
      <c r="B715" s="152">
        <f t="shared" si="28"/>
        <v>0</v>
      </c>
      <c r="D715" s="30">
        <f ca="1">(D214+D381+'3. General Model Inputs'!$D$53*D548)*D$6</f>
        <v>0</v>
      </c>
      <c r="E715" s="30">
        <f ca="1">(E214+E381+'3. General Model Inputs'!$D$53*E548)*E$6</f>
        <v>0</v>
      </c>
      <c r="F715" s="30">
        <f ca="1">(F214+F381+'3. General Model Inputs'!$D$53*F548)*F$6</f>
        <v>0</v>
      </c>
      <c r="G715" s="30">
        <f ca="1">(G214+G381+'3. General Model Inputs'!$D$53*G548)*G$6</f>
        <v>0</v>
      </c>
      <c r="H715" s="30">
        <f ca="1">(H214+H381+'3. General Model Inputs'!$D$53*H548)*H$6</f>
        <v>142875.88750000001</v>
      </c>
    </row>
    <row r="716" spans="2:8">
      <c r="B716" s="152">
        <f t="shared" si="28"/>
        <v>0</v>
      </c>
      <c r="D716" s="30">
        <f ca="1">(D215+D382+'3. General Model Inputs'!$D$53*D549)*D$6</f>
        <v>0</v>
      </c>
      <c r="E716" s="30">
        <f ca="1">(E215+E382+'3. General Model Inputs'!$D$53*E549)*E$6</f>
        <v>0</v>
      </c>
      <c r="F716" s="30">
        <f ca="1">(F215+F382+'3. General Model Inputs'!$D$53*F549)*F$6</f>
        <v>13046.175000000001</v>
      </c>
      <c r="G716" s="30">
        <f ca="1">(G215+G382+'3. General Model Inputs'!$D$53*G549)*G$6</f>
        <v>25749.887906250002</v>
      </c>
      <c r="H716" s="30">
        <f ca="1">(H215+H382+'3. General Model Inputs'!$D$53*H549)*H$6</f>
        <v>25004.496414226975</v>
      </c>
    </row>
    <row r="717" spans="2:8">
      <c r="B717" s="152">
        <f t="shared" si="28"/>
        <v>0</v>
      </c>
      <c r="D717" s="30">
        <f ca="1">(D216+D383+'3. General Model Inputs'!$D$53*D550)*D$6</f>
        <v>0</v>
      </c>
      <c r="E717" s="30">
        <f ca="1">(E216+E383+'3. General Model Inputs'!$D$53*E550)*E$6</f>
        <v>0</v>
      </c>
      <c r="F717" s="30">
        <f ca="1">(F216+F383+'3. General Model Inputs'!$D$53*F550)*F$6</f>
        <v>0</v>
      </c>
      <c r="G717" s="30">
        <f ca="1">(G216+G383+'3. General Model Inputs'!$D$53*G550)*G$6</f>
        <v>66928.55</v>
      </c>
      <c r="H717" s="30">
        <f ca="1">(H216+H383+'3. General Model Inputs'!$D$53*H550)*H$6</f>
        <v>132100.22556250001</v>
      </c>
    </row>
    <row r="718" spans="2:8">
      <c r="B718" s="152">
        <f t="shared" si="28"/>
        <v>0</v>
      </c>
      <c r="D718" s="30">
        <f ca="1">(D217+D384+'3. General Model Inputs'!$D$53*D551)*D$6</f>
        <v>0</v>
      </c>
      <c r="E718" s="30">
        <f ca="1">(E217+E384+'3. General Model Inputs'!$D$53*E551)*E$6</f>
        <v>0</v>
      </c>
      <c r="F718" s="30">
        <f ca="1">(F217+F384+'3. General Model Inputs'!$D$53*F551)*F$6</f>
        <v>0</v>
      </c>
      <c r="G718" s="30">
        <f ca="1">(G217+G384+'3. General Model Inputs'!$D$53*G551)*G$6</f>
        <v>0</v>
      </c>
      <c r="H718" s="30">
        <f ca="1">(H217+H384+'3. General Model Inputs'!$D$53*H551)*H$6</f>
        <v>135031.55000000002</v>
      </c>
    </row>
    <row r="719" spans="2:8">
      <c r="B719" s="152">
        <f t="shared" si="28"/>
        <v>0</v>
      </c>
      <c r="D719" s="30">
        <f ca="1">(D218+D385+'3. General Model Inputs'!$D$53*D552)*D$6</f>
        <v>0</v>
      </c>
      <c r="E719" s="30">
        <f ca="1">(E218+E385+'3. General Model Inputs'!$D$53*E552)*E$6</f>
        <v>0</v>
      </c>
      <c r="F719" s="30">
        <f ca="1">(F218+F385+'3. General Model Inputs'!$D$53*F552)*F$6</f>
        <v>26092.343105284021</v>
      </c>
      <c r="G719" s="30">
        <f ca="1">(G218+G385+'3. General Model Inputs'!$D$53*G552)*G$6</f>
        <v>51945.506398769605</v>
      </c>
      <c r="H719" s="30">
        <f ca="1">(H218+H385+'3. General Model Inputs'!$D$53*H552)*H$6</f>
        <v>51408.139091196128</v>
      </c>
    </row>
    <row r="720" spans="2:8">
      <c r="B720" s="152">
        <f t="shared" si="28"/>
        <v>0</v>
      </c>
      <c r="D720" s="30">
        <f ca="1">(D219+D386+'3. General Model Inputs'!$D$53*D553)*D$6</f>
        <v>0</v>
      </c>
      <c r="E720" s="30">
        <f ca="1">(E219+E386+'3. General Model Inputs'!$D$53*E553)*E$6</f>
        <v>0</v>
      </c>
      <c r="F720" s="30">
        <f ca="1">(F219+F386+'3. General Model Inputs'!$D$53*F553)*F$6</f>
        <v>0</v>
      </c>
      <c r="G720" s="30">
        <f ca="1">(G219+G386+'3. General Model Inputs'!$D$53*G553)*G$6</f>
        <v>66928.545944398735</v>
      </c>
      <c r="H720" s="30">
        <f ca="1">(H219+H386+'3. General Model Inputs'!$D$53*H553)*H$6</f>
        <v>133243.58021764047</v>
      </c>
    </row>
    <row r="721" spans="2:8">
      <c r="B721" s="152">
        <f t="shared" si="28"/>
        <v>0</v>
      </c>
      <c r="D721" s="30">
        <f ca="1">(D220+D387+'3. General Model Inputs'!$D$53*D554)*D$6</f>
        <v>0</v>
      </c>
      <c r="E721" s="30">
        <f ca="1">(E220+E387+'3. General Model Inputs'!$D$53*E554)*E$6</f>
        <v>0</v>
      </c>
      <c r="F721" s="30">
        <f ca="1">(F220+F387+'3. General Model Inputs'!$D$53*F554)*F$6</f>
        <v>0</v>
      </c>
      <c r="G721" s="30">
        <f ca="1">(G220+G387+'3. General Model Inputs'!$D$53*G554)*G$6</f>
        <v>0</v>
      </c>
      <c r="H721" s="30">
        <f ca="1">(H220+H387+'3. General Model Inputs'!$D$53*H554)*H$6</f>
        <v>120977.24526640201</v>
      </c>
    </row>
    <row r="722" spans="2:8">
      <c r="B722" s="152">
        <f t="shared" si="28"/>
        <v>0</v>
      </c>
      <c r="D722" s="30">
        <f ca="1">(D221+D388+'3. General Model Inputs'!$D$53*D555)*D$6</f>
        <v>0</v>
      </c>
      <c r="E722" s="30">
        <f ca="1">(E221+E388+'3. General Model Inputs'!$D$53*E555)*E$6</f>
        <v>0</v>
      </c>
      <c r="F722" s="30">
        <f ca="1">(F221+F388+'3. General Model Inputs'!$D$53*F555)*F$6</f>
        <v>13503.150000000001</v>
      </c>
      <c r="G722" s="30">
        <f ca="1">(G221+G388+'3. General Model Inputs'!$D$53*G555)*G$6</f>
        <v>27170.869640625002</v>
      </c>
      <c r="H722" s="30">
        <f ca="1">(H221+H388+'3. General Model Inputs'!$D$53*H555)*H$6</f>
        <v>27497.607946429991</v>
      </c>
    </row>
    <row r="723" spans="2:8">
      <c r="B723" s="152">
        <f t="shared" si="28"/>
        <v>0</v>
      </c>
      <c r="D723" s="30">
        <f ca="1">(D222+D389+'3. General Model Inputs'!$D$53*D556)*D$6</f>
        <v>0</v>
      </c>
      <c r="E723" s="30">
        <f ca="1">(E222+E389+'3. General Model Inputs'!$D$53*E556)*E$6</f>
        <v>0</v>
      </c>
      <c r="F723" s="30">
        <f ca="1">(F222+F389+'3. General Model Inputs'!$D$53*F556)*F$6</f>
        <v>0</v>
      </c>
      <c r="G723" s="30">
        <f ca="1">(G222+G389+'3. General Model Inputs'!$D$53*G556)*G$6</f>
        <v>97181.1875</v>
      </c>
      <c r="H723" s="30">
        <f ca="1">(H222+H389+'3. General Model Inputs'!$D$53*H556)*H$6</f>
        <v>195546.77072265628</v>
      </c>
    </row>
    <row r="724" spans="2:8">
      <c r="B724" s="152">
        <f t="shared" si="28"/>
        <v>0</v>
      </c>
      <c r="D724" s="30">
        <f ca="1">(D223+D390+'3. General Model Inputs'!$D$53*D557)*D$6</f>
        <v>0</v>
      </c>
      <c r="E724" s="30">
        <f ca="1">(E223+E390+'3. General Model Inputs'!$D$53*E557)*E$6</f>
        <v>0</v>
      </c>
      <c r="F724" s="30">
        <f ca="1">(F223+F390+'3. General Model Inputs'!$D$53*F557)*F$6</f>
        <v>0</v>
      </c>
      <c r="G724" s="30">
        <f ca="1">(G223+G390+'3. General Model Inputs'!$D$53*G557)*G$6</f>
        <v>0</v>
      </c>
      <c r="H724" s="30">
        <f ca="1">(H223+H390+'3. General Model Inputs'!$D$53*H557)*H$6</f>
        <v>58689.837500000001</v>
      </c>
    </row>
    <row r="725" spans="2:8">
      <c r="B725" s="152">
        <f t="shared" si="28"/>
        <v>0</v>
      </c>
      <c r="D725" s="30">
        <f ca="1">(D224+D391+'3. General Model Inputs'!$D$53*D558)*D$6</f>
        <v>0</v>
      </c>
      <c r="E725" s="30">
        <f ca="1">(E224+E391+'3. General Model Inputs'!$D$53*E558)*E$6</f>
        <v>0</v>
      </c>
      <c r="F725" s="30">
        <f ca="1">(F224+F391+'3. General Model Inputs'!$D$53*F558)*F$6</f>
        <v>9452.2124999999996</v>
      </c>
      <c r="G725" s="30">
        <f ca="1">(G224+G391+'3. General Model Inputs'!$D$53*G558)*G$6</f>
        <v>18979.255015625004</v>
      </c>
      <c r="H725" s="30">
        <f ca="1">(H224+H391+'3. General Model Inputs'!$D$53*H558)*H$6</f>
        <v>19124.012045405194</v>
      </c>
    </row>
    <row r="726" spans="2:8">
      <c r="B726" s="152">
        <f t="shared" si="28"/>
        <v>0</v>
      </c>
      <c r="D726" s="30">
        <f ca="1">(D225+D392+'3. General Model Inputs'!$D$53*D559)*D$6</f>
        <v>0</v>
      </c>
      <c r="E726" s="30">
        <f ca="1">(E225+E392+'3. General Model Inputs'!$D$53*E559)*E$6</f>
        <v>0</v>
      </c>
      <c r="F726" s="30">
        <f ca="1">(F225+F392+'3. General Model Inputs'!$D$53*F559)*F$6</f>
        <v>0</v>
      </c>
      <c r="G726" s="30">
        <f ca="1">(G225+G392+'3. General Model Inputs'!$D$53*G559)*G$6</f>
        <v>71819.537500000006</v>
      </c>
      <c r="H726" s="30">
        <f ca="1">(H225+H392+'3. General Model Inputs'!$D$53*H559)*H$6</f>
        <v>144207.64633854167</v>
      </c>
    </row>
    <row r="727" spans="2:8">
      <c r="B727" s="152">
        <f t="shared" si="28"/>
        <v>0</v>
      </c>
      <c r="D727" s="30">
        <f ca="1">(D226+D393+'3. General Model Inputs'!$D$53*D560)*D$6</f>
        <v>0</v>
      </c>
      <c r="E727" s="30">
        <f ca="1">(E226+E393+'3. General Model Inputs'!$D$53*E560)*E$6</f>
        <v>0</v>
      </c>
      <c r="F727" s="30">
        <f ca="1">(F226+F393+'3. General Model Inputs'!$D$53*F560)*F$6</f>
        <v>0</v>
      </c>
      <c r="G727" s="30">
        <f ca="1">(G226+G393+'3. General Model Inputs'!$D$53*G560)*G$6</f>
        <v>0</v>
      </c>
      <c r="H727" s="30">
        <f ca="1">(H226+H393+'3. General Model Inputs'!$D$53*H560)*H$6</f>
        <v>61486.162500000006</v>
      </c>
    </row>
    <row r="728" spans="2:8">
      <c r="B728" s="152">
        <f t="shared" si="28"/>
        <v>0</v>
      </c>
      <c r="D728" s="30">
        <f ca="1">(D227+D394+'3. General Model Inputs'!$D$53*D561)*D$6</f>
        <v>0</v>
      </c>
      <c r="E728" s="30">
        <f ca="1">(E227+E394+'3. General Model Inputs'!$D$53*E561)*E$6</f>
        <v>11838.362500000001</v>
      </c>
      <c r="F728" s="30">
        <f ca="1">(F227+F394+'3. General Model Inputs'!$D$53*F561)*F$6</f>
        <v>22759.251906250003</v>
      </c>
      <c r="G728" s="30">
        <f ca="1">(G227+G394+'3. General Model Inputs'!$D$53*G561)*G$6</f>
        <v>20736.207292361112</v>
      </c>
      <c r="H728" s="30">
        <f ca="1">(H227+H394+'3. General Model Inputs'!$D$53*H561)*H$6</f>
        <v>18597.785915336372</v>
      </c>
    </row>
    <row r="729" spans="2:8">
      <c r="B729" s="152">
        <f t="shared" si="28"/>
        <v>0</v>
      </c>
      <c r="D729" s="30">
        <f ca="1">(D228+D395+'3. General Model Inputs'!$D$53*D562)*D$6</f>
        <v>0</v>
      </c>
      <c r="E729" s="30">
        <f ca="1">(E228+E395+'3. General Model Inputs'!$D$53*E562)*E$6</f>
        <v>0</v>
      </c>
      <c r="F729" s="30">
        <f ca="1">(F228+F395+'3. General Model Inputs'!$D$53*F562)*F$6</f>
        <v>18455.662500000002</v>
      </c>
      <c r="G729" s="30">
        <f ca="1">(G228+G395+'3. General Model Inputs'!$D$53*G562)*G$6</f>
        <v>35481.011156250002</v>
      </c>
      <c r="H729" s="30">
        <f ca="1">(H228+H395+'3. General Model Inputs'!$D$53*H562)*H$6</f>
        <v>32327.143497916666</v>
      </c>
    </row>
    <row r="730" spans="2:8">
      <c r="B730" s="152">
        <f t="shared" si="28"/>
        <v>0</v>
      </c>
      <c r="D730" s="30">
        <f ca="1">(D229+D396+'3. General Model Inputs'!$D$53*D563)*D$6</f>
        <v>0</v>
      </c>
      <c r="E730" s="30">
        <f ca="1">(E229+E396+'3. General Model Inputs'!$D$53*E563)*E$6</f>
        <v>0</v>
      </c>
      <c r="F730" s="30">
        <f ca="1">(F229+F396+'3. General Model Inputs'!$D$53*F563)*F$6</f>
        <v>0</v>
      </c>
      <c r="G730" s="30">
        <f ca="1">(G229+G396+'3. General Model Inputs'!$D$53*G563)*G$6</f>
        <v>19110.55</v>
      </c>
      <c r="H730" s="30">
        <f ca="1">(H229+H396+'3. General Model Inputs'!$D$53*H563)*H$6</f>
        <v>36740.032375000003</v>
      </c>
    </row>
    <row r="731" spans="2:8">
      <c r="B731" s="152">
        <f t="shared" si="28"/>
        <v>0</v>
      </c>
      <c r="D731" s="30">
        <f ca="1">(D230+D397+'3. General Model Inputs'!$D$53*D564)*D$6</f>
        <v>0</v>
      </c>
      <c r="E731" s="30">
        <f ca="1">(E230+E397+'3. General Model Inputs'!$D$53*E564)*E$6</f>
        <v>0</v>
      </c>
      <c r="F731" s="30">
        <f ca="1">(F230+F397+'3. General Model Inputs'!$D$53*F564)*F$6</f>
        <v>0</v>
      </c>
      <c r="G731" s="30">
        <f ca="1">(G230+G397+'3. General Model Inputs'!$D$53*G564)*G$6</f>
        <v>0</v>
      </c>
      <c r="H731" s="30">
        <f ca="1">(H230+H397+'3. General Model Inputs'!$D$53*H564)*H$6</f>
        <v>14287.587500000001</v>
      </c>
    </row>
    <row r="732" spans="2:8">
      <c r="B732" s="152">
        <f t="shared" si="28"/>
        <v>0</v>
      </c>
      <c r="D732" s="30">
        <f ca="1">(D231+D398+'3. General Model Inputs'!$D$53*D565)*D$6</f>
        <v>0</v>
      </c>
      <c r="E732" s="30">
        <f ca="1">(E231+E398+'3. General Model Inputs'!$D$53*E565)*E$6</f>
        <v>0</v>
      </c>
      <c r="F732" s="30">
        <f ca="1">(F231+F398+'3. General Model Inputs'!$D$53*F565)*F$6</f>
        <v>6616.55</v>
      </c>
      <c r="G732" s="30">
        <f ca="1">(G231+G398+'3. General Model Inputs'!$D$53*G565)*G$6</f>
        <v>13172.448291666668</v>
      </c>
      <c r="H732" s="30">
        <f ca="1">(H231+H398+'3. General Model Inputs'!$D$53*H565)*H$6</f>
        <v>13036.18158520115</v>
      </c>
    </row>
    <row r="733" spans="2:8">
      <c r="B733" s="152">
        <f t="shared" si="28"/>
        <v>0</v>
      </c>
      <c r="D733" s="30">
        <f ca="1">(D232+D399+'3. General Model Inputs'!$D$53*D566)*D$6</f>
        <v>0</v>
      </c>
      <c r="E733" s="30">
        <f ca="1">(E232+E399+'3. General Model Inputs'!$D$53*E566)*E$6</f>
        <v>0</v>
      </c>
      <c r="F733" s="30">
        <f ca="1">(F232+F399+'3. General Model Inputs'!$D$53*F566)*F$6</f>
        <v>0</v>
      </c>
      <c r="G733" s="30">
        <f ca="1">(G232+G399+'3. General Model Inputs'!$D$53*G566)*G$6</f>
        <v>52061.350000000006</v>
      </c>
      <c r="H733" s="30">
        <f ca="1">(H232+H399+'3. General Model Inputs'!$D$53*H566)*H$6</f>
        <v>103645.47095833335</v>
      </c>
    </row>
    <row r="734" spans="2:8">
      <c r="B734" s="152">
        <f t="shared" si="28"/>
        <v>0</v>
      </c>
      <c r="D734" s="30">
        <f ca="1">(D233+D400+'3. General Model Inputs'!$D$53*D567)*D$6</f>
        <v>39482.349125000008</v>
      </c>
      <c r="E734" s="30">
        <f ca="1">(E233+E400+'3. General Model Inputs'!$D$53*E567)*E$6</f>
        <v>78602.776716354187</v>
      </c>
      <c r="F734" s="30">
        <f ca="1">(F233+F400+'3. General Model Inputs'!$D$53*F567)*F$6</f>
        <v>77789.644543426388</v>
      </c>
      <c r="G734" s="30">
        <f ca="1">(G233+G400+'3. General Model Inputs'!$D$53*G567)*G$6</f>
        <v>76886.729026404471</v>
      </c>
      <c r="H734" s="30">
        <f ca="1">(H233+H400+'3. General Model Inputs'!$D$53*H567)*H$6</f>
        <v>75890.04920569183</v>
      </c>
    </row>
    <row r="735" spans="2:8">
      <c r="B735" s="152">
        <f t="shared" si="28"/>
        <v>0</v>
      </c>
      <c r="D735" s="30">
        <f ca="1">(D234+D401+'3. General Model Inputs'!$D$53*D568)*D$6</f>
        <v>0</v>
      </c>
      <c r="E735" s="30">
        <f ca="1">(E234+E401+'3. General Model Inputs'!$D$53*E568)*E$6</f>
        <v>12015.720874999999</v>
      </c>
      <c r="F735" s="30">
        <f ca="1">(F234+F401+'3. General Model Inputs'!$D$53*F568)*F$6</f>
        <v>23921.297641979167</v>
      </c>
      <c r="G735" s="30">
        <f ca="1">(G234+G401+'3. General Model Inputs'!$D$53*G568)*G$6</f>
        <v>23673.835942234553</v>
      </c>
      <c r="H735" s="30">
        <f ca="1">(H234+H401+'3. General Model Inputs'!$D$53*H568)*H$6</f>
        <v>23399.050346476477</v>
      </c>
    </row>
    <row r="736" spans="2:8">
      <c r="B736" s="152">
        <f t="shared" si="28"/>
        <v>0</v>
      </c>
      <c r="D736" s="30">
        <f ca="1">(D235+D402+'3. General Model Inputs'!$D$53*D569)*D$6</f>
        <v>20443.152374999998</v>
      </c>
      <c r="E736" s="30">
        <f ca="1">(E235+E402+'3. General Model Inputs'!$D$53*E569)*E$6</f>
        <v>40698.909186562494</v>
      </c>
      <c r="F736" s="30">
        <f ca="1">(F235+F402+'3. General Model Inputs'!$D$53*F569)*F$6</f>
        <v>40277.885988080816</v>
      </c>
      <c r="G736" s="30">
        <f ca="1">(G235+G402+'3. General Model Inputs'!$D$53*G569)*G$6</f>
        <v>39810.374811433459</v>
      </c>
      <c r="H736" s="30">
        <f ca="1">(H235+H402+'3. General Model Inputs'!$D$53*H569)*H$6</f>
        <v>39294.314397211172</v>
      </c>
    </row>
    <row r="737" spans="2:8">
      <c r="B737" s="152">
        <f t="shared" si="28"/>
        <v>0</v>
      </c>
      <c r="D737" s="30">
        <f ca="1">(D236+D403+'3. General Model Inputs'!$D$53*D570)*D$6</f>
        <v>0</v>
      </c>
      <c r="E737" s="30">
        <f ca="1">(E236+E403+'3. General Model Inputs'!$D$53*E570)*E$6</f>
        <v>25965.779875</v>
      </c>
      <c r="F737" s="30">
        <f ca="1">(F236+F403+'3. General Model Inputs'!$D$53*F570)*F$6</f>
        <v>51693.540101145831</v>
      </c>
      <c r="G737" s="30">
        <f ca="1">(G236+G403+'3. General Model Inputs'!$D$53*G570)*G$6</f>
        <v>51158.779341478803</v>
      </c>
      <c r="H737" s="30">
        <f ca="1">(H236+H403+'3. General Model Inputs'!$D$53*H570)*H$6</f>
        <v>50564.972081265209</v>
      </c>
    </row>
    <row r="738" spans="2:8">
      <c r="B738" s="152">
        <f t="shared" si="28"/>
        <v>0</v>
      </c>
      <c r="D738" s="30">
        <f ca="1">(D237+D404+'3. General Model Inputs'!$D$53*D571)*D$6</f>
        <v>0</v>
      </c>
      <c r="E738" s="30">
        <f ca="1">(E237+E404+'3. General Model Inputs'!$D$53*E571)*E$6</f>
        <v>0</v>
      </c>
      <c r="F738" s="30">
        <f ca="1">(F237+F404+'3. General Model Inputs'!$D$53*F571)*F$6</f>
        <v>1261.25</v>
      </c>
      <c r="G738" s="30">
        <f ca="1">(G237+G404+'3. General Model Inputs'!$D$53*G571)*G$6</f>
        <v>2510.9385416666669</v>
      </c>
      <c r="H738" s="30">
        <f ca="1">(H237+H404+'3. General Model Inputs'!$D$53*H571)*H$6</f>
        <v>2484.9633153735631</v>
      </c>
    </row>
    <row r="739" spans="2:8">
      <c r="B739" s="152">
        <f t="shared" si="28"/>
        <v>0</v>
      </c>
      <c r="D739" s="30">
        <f ca="1">(D238+D405+'3. General Model Inputs'!$D$53*D572)*D$6</f>
        <v>19941.116250000006</v>
      </c>
      <c r="E739" s="30">
        <f ca="1">(E238+E405+'3. General Model Inputs'!$D$53*E572)*E$6</f>
        <v>40125.264854296889</v>
      </c>
      <c r="F739" s="30">
        <f ca="1">(F238+F405+'3. General Model Inputs'!$D$53*F572)*F$6</f>
        <v>40607.783862038428</v>
      </c>
      <c r="G739" s="30">
        <f ca="1">(G238+G405+'3. General Model Inputs'!$D$53*G572)*G$6</f>
        <v>41089.35052963312</v>
      </c>
      <c r="H739" s="30">
        <f ca="1">(H238+H405+'3. General Model Inputs'!$D$53*H572)*H$6</f>
        <v>41569.615665693767</v>
      </c>
    </row>
    <row r="740" spans="2:8">
      <c r="B740" s="152">
        <f t="shared" si="28"/>
        <v>0</v>
      </c>
      <c r="D740" s="30">
        <f ca="1">(D239+D406+'3. General Model Inputs'!$D$53*D573)*D$6</f>
        <v>0</v>
      </c>
      <c r="E740" s="30">
        <f ca="1">(E239+E406+'3. General Model Inputs'!$D$53*E573)*E$6</f>
        <v>26912.078625000002</v>
      </c>
      <c r="F740" s="30">
        <f ca="1">(F239+F406+'3. General Model Inputs'!$D$53*F573)*F$6</f>
        <v>54152.148208242194</v>
      </c>
      <c r="G740" s="30">
        <f ca="1">(G239+G406+'3. General Model Inputs'!$D$53*G573)*G$6</f>
        <v>54803.344927202073</v>
      </c>
      <c r="H740" s="30">
        <f ca="1">(H239+H406+'3. General Model Inputs'!$D$53*H573)*H$6</f>
        <v>55453.256389479786</v>
      </c>
    </row>
    <row r="741" spans="2:8">
      <c r="B741" s="152">
        <f t="shared" si="28"/>
        <v>0</v>
      </c>
      <c r="D741" s="30">
        <f ca="1">(D240+D407+'3. General Model Inputs'!$D$53*D574)*D$6</f>
        <v>0</v>
      </c>
      <c r="E741" s="30">
        <f ca="1">(E240+E407+'3. General Model Inputs'!$D$53*E574)*E$6</f>
        <v>0</v>
      </c>
      <c r="F741" s="30">
        <f ca="1">(F240+F407+'3. General Model Inputs'!$D$53*F574)*F$6</f>
        <v>6751.5750000000007</v>
      </c>
      <c r="G741" s="30">
        <f ca="1">(G240+G407+'3. General Model Inputs'!$D$53*G574)*G$6</f>
        <v>13325.921156249999</v>
      </c>
      <c r="H741" s="30">
        <f ca="1">(H240+H407+'3. General Model Inputs'!$D$53*H574)*H$6</f>
        <v>12940.170806990129</v>
      </c>
    </row>
    <row r="742" spans="2:8">
      <c r="B742" s="152">
        <f t="shared" si="28"/>
        <v>0</v>
      </c>
      <c r="D742" s="30">
        <f ca="1">(D241+D408+'3. General Model Inputs'!$D$53*D575)*D$6</f>
        <v>0</v>
      </c>
      <c r="E742" s="30">
        <f ca="1">(E241+E408+'3. General Model Inputs'!$D$53*E575)*E$6</f>
        <v>0</v>
      </c>
      <c r="F742" s="30">
        <f ca="1">(F241+F408+'3. General Model Inputs'!$D$53*F575)*F$6</f>
        <v>0</v>
      </c>
      <c r="G742" s="30">
        <f ca="1">(G241+G408+'3. General Model Inputs'!$D$53*G575)*G$6</f>
        <v>19783.3125</v>
      </c>
      <c r="H742" s="30">
        <f ca="1">(H241+H408+'3. General Model Inputs'!$D$53*H575)*H$6</f>
        <v>39047.313046875002</v>
      </c>
    </row>
    <row r="743" spans="2:8">
      <c r="B743" s="152">
        <f t="shared" si="28"/>
        <v>0</v>
      </c>
      <c r="D743" s="30">
        <f ca="1">(D242+D409+'3. General Model Inputs'!$D$53*D576)*D$6</f>
        <v>0</v>
      </c>
      <c r="E743" s="30">
        <f ca="1">(E242+E409+'3. General Model Inputs'!$D$53*E576)*E$6</f>
        <v>0</v>
      </c>
      <c r="F743" s="30">
        <f ca="1">(F242+F409+'3. General Model Inputs'!$D$53*F576)*F$6</f>
        <v>0</v>
      </c>
      <c r="G743" s="30">
        <f ca="1">(G242+G409+'3. General Model Inputs'!$D$53*G576)*G$6</f>
        <v>0</v>
      </c>
      <c r="H743" s="30">
        <f ca="1">(H242+H409+'3. General Model Inputs'!$D$53*H576)*H$6</f>
        <v>14287.587500000001</v>
      </c>
    </row>
    <row r="744" spans="2:8">
      <c r="B744" s="152">
        <f t="shared" si="28"/>
        <v>0</v>
      </c>
      <c r="D744" s="30">
        <f ca="1">(D243+D410+'3. General Model Inputs'!$D$53*D577)*D$6</f>
        <v>2218.5883750000003</v>
      </c>
      <c r="E744" s="30">
        <f ca="1">(E243+E410+'3. General Model Inputs'!$D$53*E577)*E$6</f>
        <v>4378.9388051562501</v>
      </c>
      <c r="F744" s="30">
        <f ca="1">(F243+F410+'3. General Model Inputs'!$D$53*F577)*F$6</f>
        <v>4252.1800502701471</v>
      </c>
      <c r="G744" s="30">
        <f ca="1">(G243+G410+'3. General Model Inputs'!$D$53*G577)*G$6</f>
        <v>4116.3465208865173</v>
      </c>
      <c r="H744" s="30">
        <f ca="1">(H243+H410+'3. General Model Inputs'!$D$53*H577)*H$6</f>
        <v>3971.0637025022875</v>
      </c>
    </row>
    <row r="745" spans="2:8">
      <c r="B745" s="152">
        <f t="shared" si="28"/>
        <v>0</v>
      </c>
      <c r="D745" s="30">
        <f ca="1">(D244+D411+'3. General Model Inputs'!$D$53*D578)*D$6</f>
        <v>0</v>
      </c>
      <c r="E745" s="30">
        <f ca="1">(E244+E411+'3. General Model Inputs'!$D$53*E578)*E$6</f>
        <v>2905.6595000000002</v>
      </c>
      <c r="F745" s="30">
        <f ca="1">(F244+F411+'3. General Model Inputs'!$D$53*F578)*F$6</f>
        <v>5735.0454381250011</v>
      </c>
      <c r="G745" s="30">
        <f ca="1">(G244+G411+'3. General Model Inputs'!$D$53*G578)*G$6</f>
        <v>5569.030964916119</v>
      </c>
      <c r="H745" s="30">
        <f ca="1">(H244+H411+'3. General Model Inputs'!$D$53*H578)*H$6</f>
        <v>5391.1313646479648</v>
      </c>
    </row>
    <row r="746" spans="2:8">
      <c r="B746" s="152">
        <f t="shared" si="28"/>
        <v>0</v>
      </c>
      <c r="D746" s="30">
        <f ca="1">(D245+D412+'3. General Model Inputs'!$D$53*D579)*D$6</f>
        <v>0</v>
      </c>
      <c r="E746" s="30">
        <f ca="1">(E245+E412+'3. General Model Inputs'!$D$53*E579)*E$6</f>
        <v>0</v>
      </c>
      <c r="F746" s="30">
        <f ca="1">(F245+F412+'3. General Model Inputs'!$D$53*F579)*F$6</f>
        <v>28867.487500000003</v>
      </c>
      <c r="G746" s="30">
        <f ca="1">(G245+G412+'3. General Model Inputs'!$D$53*G579)*G$6</f>
        <v>56977.203453125003</v>
      </c>
      <c r="H746" s="30">
        <f ca="1">(H245+H412+'3. General Model Inputs'!$D$53*H579)*H$6</f>
        <v>55327.863353166125</v>
      </c>
    </row>
    <row r="747" spans="2:8">
      <c r="B747" s="152">
        <f t="shared" si="28"/>
        <v>0</v>
      </c>
      <c r="D747" s="30">
        <f ca="1">(D246+D413+'3. General Model Inputs'!$D$53*D580)*D$6</f>
        <v>0</v>
      </c>
      <c r="E747" s="30">
        <f ca="1">(E246+E413+'3. General Model Inputs'!$D$53*E580)*E$6</f>
        <v>0</v>
      </c>
      <c r="F747" s="30">
        <f ca="1">(F246+F413+'3. General Model Inputs'!$D$53*F580)*F$6</f>
        <v>0</v>
      </c>
      <c r="G747" s="30">
        <f ca="1">(G246+G413+'3. General Model Inputs'!$D$53*G580)*G$6</f>
        <v>1813.9625000000001</v>
      </c>
      <c r="H747" s="30">
        <f ca="1">(H246+H413+'3. General Model Inputs'!$D$53*H580)*H$6</f>
        <v>3580.3084843750003</v>
      </c>
    </row>
    <row r="748" spans="2:8">
      <c r="B748" s="152">
        <f t="shared" si="28"/>
        <v>0</v>
      </c>
      <c r="D748" s="30">
        <f ca="1">(D247+D414+'3. General Model Inputs'!$D$53*D581)*D$6</f>
        <v>0</v>
      </c>
      <c r="E748" s="30">
        <f ca="1">(E247+E414+'3. General Model Inputs'!$D$53*E581)*E$6</f>
        <v>0</v>
      </c>
      <c r="F748" s="30">
        <f ca="1">(F247+F414+'3. General Model Inputs'!$D$53*F581)*F$6</f>
        <v>0</v>
      </c>
      <c r="G748" s="30">
        <f ca="1">(G247+G414+'3. General Model Inputs'!$D$53*G581)*G$6</f>
        <v>17353.787500000002</v>
      </c>
      <c r="H748" s="30">
        <f ca="1">(H247+H414+'3. General Model Inputs'!$D$53*H581)*H$6</f>
        <v>34919.074285156254</v>
      </c>
    </row>
    <row r="749" spans="2:8">
      <c r="B749" s="152">
        <f t="shared" si="28"/>
        <v>0</v>
      </c>
      <c r="D749" s="30">
        <f ca="1">(D248+D415+'3. General Model Inputs'!$D$53*D582)*D$6</f>
        <v>0</v>
      </c>
      <c r="E749" s="30">
        <f ca="1">(E248+E415+'3. General Model Inputs'!$D$53*E582)*E$6</f>
        <v>0</v>
      </c>
      <c r="F749" s="30">
        <f ca="1">(F248+F415+'3. General Model Inputs'!$D$53*F582)*F$6</f>
        <v>0</v>
      </c>
      <c r="G749" s="30">
        <f ca="1">(G248+G415+'3. General Model Inputs'!$D$53*G582)*G$6</f>
        <v>0</v>
      </c>
      <c r="H749" s="30">
        <f ca="1">(H248+H415+'3. General Model Inputs'!$D$53*H582)*H$6</f>
        <v>17859.487499999999</v>
      </c>
    </row>
    <row r="750" spans="2:8">
      <c r="B750" s="152">
        <f t="shared" si="28"/>
        <v>0</v>
      </c>
      <c r="D750" s="30">
        <f ca="1">(D249+D416+'3. General Model Inputs'!$D$53*D583)*D$6</f>
        <v>3058.3875000000003</v>
      </c>
      <c r="E750" s="30">
        <f ca="1">(E249+E416+'3. General Model Inputs'!$D$53*E583)*E$6</f>
        <v>6088.7397812500003</v>
      </c>
      <c r="F750" s="30">
        <f ca="1">(F249+F416+'3. General Model Inputs'!$D$53*F583)*F$6</f>
        <v>6025.7528179956898</v>
      </c>
      <c r="G750" s="30">
        <f ca="1">(G249+G416+'3. General Model Inputs'!$D$53*G583)*G$6</f>
        <v>5955.8110442153838</v>
      </c>
      <c r="H750" s="30">
        <f ca="1">(H249+H416+'3. General Model Inputs'!$D$53*H583)*H$6</f>
        <v>5878.6060862348131</v>
      </c>
    </row>
    <row r="751" spans="2:8">
      <c r="B751" s="152">
        <f t="shared" si="28"/>
        <v>0</v>
      </c>
      <c r="D751" s="30">
        <f ca="1">(D250+D417+'3. General Model Inputs'!$D$53*D584)*D$6</f>
        <v>0</v>
      </c>
      <c r="E751" s="30">
        <f ca="1">(E250+E417+'3. General Model Inputs'!$D$53*E584)*E$6</f>
        <v>29622.212375000003</v>
      </c>
      <c r="F751" s="30">
        <f ca="1">(F250+F417+'3. General Model Inputs'!$D$53*F584)*F$6</f>
        <v>58972.887803229183</v>
      </c>
      <c r="G751" s="30">
        <f ca="1">(G250+G417+'3. General Model Inputs'!$D$53*G584)*G$6</f>
        <v>58362.823446644041</v>
      </c>
      <c r="H751" s="30">
        <f ca="1">(H250+H417+'3. General Model Inputs'!$D$53*H584)*H$6</f>
        <v>57685.397817352641</v>
      </c>
    </row>
    <row r="752" spans="2:8">
      <c r="B752" s="152">
        <f t="shared" si="28"/>
        <v>0</v>
      </c>
      <c r="D752" s="30">
        <f ca="1">(D251+D418+'3. General Model Inputs'!$D$53*D585)*D$6</f>
        <v>0</v>
      </c>
      <c r="E752" s="30">
        <f ca="1">(E251+E418+'3. General Model Inputs'!$D$53*E585)*E$6</f>
        <v>0</v>
      </c>
      <c r="F752" s="30">
        <f ca="1">(F251+F418+'3. General Model Inputs'!$D$53*F585)*F$6</f>
        <v>3375.7875000000004</v>
      </c>
      <c r="G752" s="30">
        <f ca="1">(G251+G418+'3. General Model Inputs'!$D$53*G585)*G$6</f>
        <v>6720.6302812499998</v>
      </c>
      <c r="H752" s="30">
        <f ca="1">(H251+H418+'3. General Model Inputs'!$D$53*H585)*H$6</f>
        <v>6651.1065197198277</v>
      </c>
    </row>
    <row r="753" spans="2:8">
      <c r="B753" s="152">
        <f t="shared" si="28"/>
        <v>0</v>
      </c>
      <c r="D753" s="30">
        <f ca="1">(D252+D419+'3. General Model Inputs'!$D$53*D586)*D$6</f>
        <v>0</v>
      </c>
      <c r="E753" s="30">
        <f ca="1">(E252+E419+'3. General Model Inputs'!$D$53*E586)*E$6</f>
        <v>0</v>
      </c>
      <c r="F753" s="30">
        <f ca="1">(F252+F419+'3. General Model Inputs'!$D$53*F586)*F$6</f>
        <v>0</v>
      </c>
      <c r="G753" s="30">
        <f ca="1">(G252+G419+'3. General Model Inputs'!$D$53*G586)*G$6</f>
        <v>18221.475000000002</v>
      </c>
      <c r="H753" s="30">
        <f ca="1">(H252+H419+'3. General Model Inputs'!$D$53*H586)*H$6</f>
        <v>36275.919812500004</v>
      </c>
    </row>
    <row r="754" spans="2:8">
      <c r="B754" s="152">
        <f t="shared" si="28"/>
        <v>0</v>
      </c>
      <c r="D754" s="30">
        <f ca="1">(D253+D420+'3. General Model Inputs'!$D$53*D587)*D$6</f>
        <v>0</v>
      </c>
      <c r="E754" s="30">
        <f ca="1">(E253+E420+'3. General Model Inputs'!$D$53*E587)*E$6</f>
        <v>0</v>
      </c>
      <c r="F754" s="30">
        <f ca="1">(F253+F420+'3. General Model Inputs'!$D$53*F587)*F$6</f>
        <v>0</v>
      </c>
      <c r="G754" s="30">
        <f ca="1">(G253+G420+'3. General Model Inputs'!$D$53*G587)*G$6</f>
        <v>0</v>
      </c>
      <c r="H754" s="30">
        <f ca="1">(H253+H420+'3. General Model Inputs'!$D$53*H587)*H$6</f>
        <v>8929.7375000000011</v>
      </c>
    </row>
    <row r="755" spans="2:8">
      <c r="B755" s="152">
        <f t="shared" ref="B755:B818" si="29">B588</f>
        <v>0</v>
      </c>
      <c r="D755" s="30">
        <f ca="1">(D254+D421+'3. General Model Inputs'!$D$53*D588)*D$6</f>
        <v>5131.6587500000005</v>
      </c>
      <c r="E755" s="30">
        <f ca="1">(E254+E421+'3. General Model Inputs'!$D$53*E588)*E$6</f>
        <v>10303.943131770835</v>
      </c>
      <c r="F755" s="30">
        <f ca="1">(F254+F421+'3. General Model Inputs'!$D$53*F588)*F$6</f>
        <v>10382.532528538577</v>
      </c>
      <c r="G755" s="30">
        <f ca="1">(G254+G421+'3. General Model Inputs'!$D$53*G588)*G$6</f>
        <v>10458.611430687351</v>
      </c>
      <c r="H755" s="30">
        <f ca="1">(H254+H421+'3. General Model Inputs'!$D$53*H588)*H$6</f>
        <v>10532.005195113228</v>
      </c>
    </row>
    <row r="756" spans="2:8">
      <c r="B756" s="152">
        <f t="shared" si="29"/>
        <v>0</v>
      </c>
      <c r="D756" s="30">
        <f ca="1">(D255+D422+'3. General Model Inputs'!$D$53*D589)*D$6</f>
        <v>0</v>
      </c>
      <c r="E756" s="30">
        <f ca="1">(E255+E422+'3. General Model Inputs'!$D$53*E589)*E$6</f>
        <v>2108.7575000000002</v>
      </c>
      <c r="F756" s="30">
        <f ca="1">(F255+F422+'3. General Model Inputs'!$D$53*F589)*F$6</f>
        <v>4234.2093302083331</v>
      </c>
      <c r="G756" s="30">
        <f ca="1">(G255+G422+'3. General Model Inputs'!$D$53*G589)*G$6</f>
        <v>4266.5041471336508</v>
      </c>
      <c r="H756" s="30">
        <f ca="1">(H255+H422+'3. General Model Inputs'!$D$53*H589)*H$6</f>
        <v>4297.7673240738541</v>
      </c>
    </row>
    <row r="757" spans="2:8">
      <c r="B757" s="152">
        <f t="shared" si="29"/>
        <v>0</v>
      </c>
      <c r="D757" s="30">
        <f ca="1">(D256+D423+'3. General Model Inputs'!$D$53*D590)*D$6</f>
        <v>0</v>
      </c>
      <c r="E757" s="30">
        <f ca="1">(E256+E423+'3. General Model Inputs'!$D$53*E590)*E$6</f>
        <v>0</v>
      </c>
      <c r="F757" s="30">
        <f ca="1">(F256+F423+'3. General Model Inputs'!$D$53*F590)*F$6</f>
        <v>20338.850000000002</v>
      </c>
      <c r="G757" s="30">
        <f ca="1">(G256+G423+'3. General Model Inputs'!$D$53*G590)*G$6</f>
        <v>40838.715895833331</v>
      </c>
      <c r="H757" s="30">
        <f ca="1">(H256+H423+'3. General Model Inputs'!$D$53*H590)*H$6</f>
        <v>41150.197627242233</v>
      </c>
    </row>
    <row r="758" spans="2:8">
      <c r="B758" s="152">
        <f t="shared" si="29"/>
        <v>0</v>
      </c>
      <c r="D758" s="30">
        <f ca="1">(D257+D424+'3. General Model Inputs'!$D$53*D591)*D$6</f>
        <v>24759.224875</v>
      </c>
      <c r="E758" s="30">
        <f ca="1">(E257+E424+'3. General Model Inputs'!$D$53*E591)*E$6</f>
        <v>49714.46028026042</v>
      </c>
      <c r="F758" s="30">
        <f ca="1">(F257+F424+'3. General Model Inputs'!$D$53*F591)*F$6</f>
        <v>50093.638367143758</v>
      </c>
      <c r="G758" s="30">
        <f ca="1">(G257+G424+'3. General Model Inputs'!$D$53*G591)*G$6</f>
        <v>50460.703820696101</v>
      </c>
      <c r="H758" s="30">
        <f ca="1">(H257+H424+'3. General Model Inputs'!$D$53*H591)*H$6</f>
        <v>50814.814022946608</v>
      </c>
    </row>
    <row r="759" spans="2:8">
      <c r="B759" s="152">
        <f t="shared" si="29"/>
        <v>0</v>
      </c>
      <c r="D759" s="30">
        <f ca="1">(D258+D425+'3. General Model Inputs'!$D$53*D592)*D$6</f>
        <v>0</v>
      </c>
      <c r="E759" s="30">
        <f ca="1">(E258+E425+'3. General Model Inputs'!$D$53*E592)*E$6</f>
        <v>570.34537499999988</v>
      </c>
      <c r="F759" s="30">
        <f ca="1">(F258+F425+'3. General Model Inputs'!$D$53*F592)*F$6</f>
        <v>1145.2059842187498</v>
      </c>
      <c r="G759" s="30">
        <f ca="1">(G258+G425+'3. General Model Inputs'!$D$53*G592)*G$6</f>
        <v>1153.9406061322827</v>
      </c>
      <c r="H759" s="30">
        <f ca="1">(H258+H425+'3. General Model Inputs'!$D$53*H592)*H$6</f>
        <v>1162.3962054013552</v>
      </c>
    </row>
    <row r="760" spans="2:8">
      <c r="B760" s="152">
        <f t="shared" si="29"/>
        <v>0</v>
      </c>
      <c r="D760" s="30">
        <f ca="1">(D259+D426+'3. General Model Inputs'!$D$53*D593)*D$6</f>
        <v>3603.7783749999999</v>
      </c>
      <c r="E760" s="30">
        <f ca="1">(E259+E426+'3. General Model Inputs'!$D$53*E593)*E$6</f>
        <v>7251.4777989453114</v>
      </c>
      <c r="F760" s="30">
        <f ca="1">(F259+F426+'3. General Model Inputs'!$D$53*F593)*F$6</f>
        <v>7338.6791142490838</v>
      </c>
      <c r="G760" s="30">
        <f ca="1">(G259+G426+'3. General Model Inputs'!$D$53*G593)*G$6</f>
        <v>7425.7083216937044</v>
      </c>
      <c r="H760" s="30">
        <f ca="1">(H259+H426+'3. General Model Inputs'!$D$53*H593)*H$6</f>
        <v>7512.50231506415</v>
      </c>
    </row>
    <row r="761" spans="2:8">
      <c r="B761" s="152">
        <f t="shared" si="29"/>
        <v>0</v>
      </c>
      <c r="D761" s="30">
        <f ca="1">(D260+D427+'3. General Model Inputs'!$D$53*D594)*D$6</f>
        <v>0</v>
      </c>
      <c r="E761" s="30">
        <f ca="1">(E260+E427+'3. General Model Inputs'!$D$53*E594)*E$6</f>
        <v>2139.4945000000002</v>
      </c>
      <c r="F761" s="30">
        <f ca="1">(F260+F427+'3. General Model Inputs'!$D$53*F594)*F$6</f>
        <v>4305.0640892187503</v>
      </c>
      <c r="G761" s="30">
        <f ca="1">(G260+G427+'3. General Model Inputs'!$D$53*G594)*G$6</f>
        <v>4356.8338472536589</v>
      </c>
      <c r="H761" s="30">
        <f ca="1">(H260+H427+'3. General Model Inputs'!$D$53*H594)*H$6</f>
        <v>4408.501428134552</v>
      </c>
    </row>
    <row r="762" spans="2:8">
      <c r="B762" s="152">
        <f t="shared" si="29"/>
        <v>0</v>
      </c>
      <c r="D762" s="30">
        <f ca="1">(D261+D428+'3. General Model Inputs'!$D$53*D595)*D$6</f>
        <v>0</v>
      </c>
      <c r="E762" s="30">
        <f ca="1">(E261+E428+'3. General Model Inputs'!$D$53*E595)*E$6</f>
        <v>0</v>
      </c>
      <c r="F762" s="30">
        <f ca="1">(F261+F428+'3. General Model Inputs'!$D$53*F595)*F$6</f>
        <v>5401.2625000000007</v>
      </c>
      <c r="G762" s="30">
        <f ca="1">(G261+G428+'3. General Model Inputs'!$D$53*G595)*G$6</f>
        <v>10868.352886718751</v>
      </c>
      <c r="H762" s="30">
        <f ca="1">(H261+H428+'3. General Model Inputs'!$D$53*H595)*H$6</f>
        <v>10999.048269533723</v>
      </c>
    </row>
    <row r="763" spans="2:8">
      <c r="B763" s="152">
        <f t="shared" si="29"/>
        <v>0</v>
      </c>
      <c r="D763" s="30">
        <f ca="1">(D262+D429+'3. General Model Inputs'!$D$53*D596)*D$6</f>
        <v>0</v>
      </c>
      <c r="E763" s="30">
        <f ca="1">(E262+E429+'3. General Model Inputs'!$D$53*E596)*E$6</f>
        <v>0</v>
      </c>
      <c r="F763" s="30">
        <f ca="1">(F262+F429+'3. General Model Inputs'!$D$53*F596)*F$6</f>
        <v>0</v>
      </c>
      <c r="G763" s="30">
        <f ca="1">(G262+G429+'3. General Model Inputs'!$D$53*G596)*G$6</f>
        <v>5553.2125000000005</v>
      </c>
      <c r="H763" s="30">
        <f ca="1">(H262+H429+'3. General Model Inputs'!$D$53*H596)*H$6</f>
        <v>11174.104777343751</v>
      </c>
    </row>
    <row r="764" spans="2:8">
      <c r="B764" s="152">
        <f t="shared" si="29"/>
        <v>0</v>
      </c>
      <c r="D764" s="30">
        <f ca="1">(D263+D430+'3. General Model Inputs'!$D$53*D597)*D$6</f>
        <v>0</v>
      </c>
      <c r="E764" s="30">
        <f ca="1">(E263+E430+'3. General Model Inputs'!$D$53*E597)*E$6</f>
        <v>0</v>
      </c>
      <c r="F764" s="30">
        <f ca="1">(F263+F430+'3. General Model Inputs'!$D$53*F597)*F$6</f>
        <v>0</v>
      </c>
      <c r="G764" s="30">
        <f ca="1">(G263+G430+'3. General Model Inputs'!$D$53*G597)*G$6</f>
        <v>0</v>
      </c>
      <c r="H764" s="30">
        <f ca="1">(H263+H430+'3. General Model Inputs'!$D$53*H597)*H$6</f>
        <v>5715.0375000000004</v>
      </c>
    </row>
    <row r="765" spans="2:8">
      <c r="B765" s="152">
        <f t="shared" si="29"/>
        <v>0</v>
      </c>
      <c r="D765" s="30">
        <f ca="1">(D264+D431+'3. General Model Inputs'!$D$53*D598)*D$6</f>
        <v>0</v>
      </c>
      <c r="E765" s="30">
        <f ca="1">(E264+E431+'3. General Model Inputs'!$D$53*E598)*E$6</f>
        <v>0</v>
      </c>
      <c r="F765" s="30">
        <f ca="1">(F264+F431+'3. General Model Inputs'!$D$53*F598)*F$6</f>
        <v>0</v>
      </c>
      <c r="G765" s="30">
        <f ca="1">(G264+G431+'3. General Model Inputs'!$D$53*G598)*G$6</f>
        <v>1388.3000000000002</v>
      </c>
      <c r="H765" s="30">
        <f ca="1">(H264+H431+'3. General Model Inputs'!$D$53*H598)*H$6</f>
        <v>2740.1571250000002</v>
      </c>
    </row>
    <row r="766" spans="2:8">
      <c r="B766" s="152">
        <f t="shared" si="29"/>
        <v>0</v>
      </c>
      <c r="D766" s="30">
        <f ca="1">(D265+D432+'3. General Model Inputs'!$D$53*D599)*D$6</f>
        <v>0</v>
      </c>
      <c r="E766" s="30">
        <f ca="1">(E265+E432+'3. General Model Inputs'!$D$53*E599)*E$6</f>
        <v>0</v>
      </c>
      <c r="F766" s="30">
        <f ca="1">(F265+F432+'3. General Model Inputs'!$D$53*F599)*F$6</f>
        <v>0</v>
      </c>
      <c r="G766" s="30">
        <f ca="1">(G265+G432+'3. General Model Inputs'!$D$53*G599)*G$6</f>
        <v>0</v>
      </c>
      <c r="H766" s="30">
        <f ca="1">(H265+H432+'3. General Model Inputs'!$D$53*H599)*H$6</f>
        <v>11787.262500000001</v>
      </c>
    </row>
    <row r="767" spans="2:8">
      <c r="B767" s="152">
        <f t="shared" si="29"/>
        <v>0</v>
      </c>
      <c r="D767" s="30">
        <f ca="1">(D266+D433+'3. General Model Inputs'!$D$53*D600)*D$6</f>
        <v>0</v>
      </c>
      <c r="E767" s="30">
        <f ca="1">(E266+E433+'3. General Model Inputs'!$D$53*E600)*E$6</f>
        <v>0</v>
      </c>
      <c r="F767" s="30">
        <f ca="1">(F266+F433+'3. General Model Inputs'!$D$53*F600)*F$6</f>
        <v>4076.9286102006286</v>
      </c>
      <c r="G767" s="30">
        <f ca="1">(G266+G433+'3. General Model Inputs'!$D$53*G600)*G$6</f>
        <v>8116.4853748077512</v>
      </c>
      <c r="H767" s="30">
        <f ca="1">(H266+H433+'3. General Model Inputs'!$D$53*H600)*H$6</f>
        <v>8032.5217329993948</v>
      </c>
    </row>
    <row r="768" spans="2:8">
      <c r="B768" s="152">
        <f t="shared" si="29"/>
        <v>0</v>
      </c>
      <c r="D768" s="30">
        <f ca="1">(D267+D434+'3. General Model Inputs'!$D$53*D601)*D$6</f>
        <v>0</v>
      </c>
      <c r="E768" s="30">
        <f ca="1">(E267+E434+'3. General Model Inputs'!$D$53*E601)*E$6</f>
        <v>0</v>
      </c>
      <c r="F768" s="30">
        <f ca="1">(F267+F434+'3. General Model Inputs'!$D$53*F601)*F$6</f>
        <v>0</v>
      </c>
      <c r="G768" s="30">
        <f ca="1">(G267+G434+'3. General Model Inputs'!$D$53*G601)*G$6</f>
        <v>4183.0341215249209</v>
      </c>
      <c r="H768" s="30">
        <f ca="1">(H267+H434+'3. General Model Inputs'!$D$53*H601)*H$6</f>
        <v>8327.7237636025293</v>
      </c>
    </row>
    <row r="769" spans="2:8">
      <c r="B769" s="152">
        <f t="shared" si="29"/>
        <v>0</v>
      </c>
      <c r="D769" s="30">
        <f ca="1">(D268+D435+'3. General Model Inputs'!$D$53*D602)*D$6</f>
        <v>0</v>
      </c>
      <c r="E769" s="30">
        <f ca="1">(E268+E435+'3. General Model Inputs'!$D$53*E602)*E$6</f>
        <v>0</v>
      </c>
      <c r="F769" s="30">
        <f ca="1">(F268+F435+'3. General Model Inputs'!$D$53*F602)*F$6</f>
        <v>0</v>
      </c>
      <c r="G769" s="30">
        <f ca="1">(G268+G435+'3. General Model Inputs'!$D$53*G602)*G$6</f>
        <v>0</v>
      </c>
      <c r="H769" s="30">
        <f ca="1">(H268+H435+'3. General Model Inputs'!$D$53*H602)*H$6</f>
        <v>4557.3146256858518</v>
      </c>
    </row>
    <row r="770" spans="2:8">
      <c r="B770" s="152">
        <f t="shared" si="29"/>
        <v>0</v>
      </c>
      <c r="D770" s="30">
        <f ca="1">(D269+D436+'3. General Model Inputs'!$D$53*D603)*D$6</f>
        <v>0</v>
      </c>
      <c r="E770" s="30">
        <f ca="1">(E269+E436+'3. General Model Inputs'!$D$53*E603)*E$6</f>
        <v>0</v>
      </c>
      <c r="F770" s="30">
        <f ca="1">(F269+F436+'3. General Model Inputs'!$D$53*F603)*F$6</f>
        <v>0</v>
      </c>
      <c r="G770" s="30">
        <f ca="1">(G269+G436+'3. General Model Inputs'!$D$53*G603)*G$6</f>
        <v>5379.6750000000002</v>
      </c>
      <c r="H770" s="30">
        <f ca="1">(H269+H436+'3. General Model Inputs'!$D$53*H603)*H$6</f>
        <v>10710.0363125</v>
      </c>
    </row>
    <row r="771" spans="2:8">
      <c r="B771" s="152">
        <f t="shared" si="29"/>
        <v>0</v>
      </c>
      <c r="D771" s="30">
        <f ca="1">(D270+D437+'3. General Model Inputs'!$D$53*D604)*D$6</f>
        <v>0</v>
      </c>
      <c r="E771" s="30">
        <f ca="1">(E270+E437+'3. General Model Inputs'!$D$53*E604)*E$6</f>
        <v>0</v>
      </c>
      <c r="F771" s="30">
        <f ca="1">(F270+F437+'3. General Model Inputs'!$D$53*F604)*F$6</f>
        <v>0</v>
      </c>
      <c r="G771" s="30">
        <f ca="1">(G270+G437+'3. General Model Inputs'!$D$53*G604)*G$6</f>
        <v>0</v>
      </c>
      <c r="H771" s="30">
        <f ca="1">(H270+H437+'3. General Model Inputs'!$D$53*H604)*H$6</f>
        <v>7143.8</v>
      </c>
    </row>
    <row r="772" spans="2:8">
      <c r="B772" s="152">
        <f t="shared" si="29"/>
        <v>0</v>
      </c>
      <c r="D772" s="30">
        <f ca="1">(D271+D438+'3. General Model Inputs'!$D$53*D605)*D$6</f>
        <v>1162.234375</v>
      </c>
      <c r="E772" s="30">
        <f ca="1">(E271+E438+'3. General Model Inputs'!$D$53*E605)*E$6</f>
        <v>2338.6334814453126</v>
      </c>
      <c r="F772" s="30">
        <f ca="1">(F271+F438+'3. General Model Inputs'!$D$53*F605)*F$6</f>
        <v>2366.7562891335792</v>
      </c>
      <c r="G772" s="30">
        <f ca="1">(G271+G438+'3. General Model Inputs'!$D$53*G605)*G$6</f>
        <v>2394.8235912803557</v>
      </c>
      <c r="H772" s="30">
        <f ca="1">(H271+H438+'3. General Model Inputs'!$D$53*H605)*H$6</f>
        <v>2422.8150358537623</v>
      </c>
    </row>
    <row r="773" spans="2:8">
      <c r="B773" s="152">
        <f t="shared" si="29"/>
        <v>0</v>
      </c>
      <c r="D773" s="30">
        <f ca="1">(D272+D439+'3. General Model Inputs'!$D$53*D606)*D$6</f>
        <v>0</v>
      </c>
      <c r="E773" s="30">
        <f ca="1">(E272+E439+'3. General Model Inputs'!$D$53*E606)*E$6</f>
        <v>9230.0841249999994</v>
      </c>
      <c r="F773" s="30">
        <f ca="1">(F272+F439+'3. General Model Inputs'!$D$53*F606)*F$6</f>
        <v>18572.65990027344</v>
      </c>
      <c r="G773" s="30">
        <f ca="1">(G272+G439+'3. General Model Inputs'!$D$53*G606)*G$6</f>
        <v>18796.002012998244</v>
      </c>
      <c r="H773" s="30">
        <f ca="1">(H272+H439+'3. General Model Inputs'!$D$53*H606)*H$6</f>
        <v>19018.903318921621</v>
      </c>
    </row>
    <row r="774" spans="2:8">
      <c r="B774" s="152">
        <f t="shared" si="29"/>
        <v>0</v>
      </c>
      <c r="D774" s="30">
        <f ca="1">(D273+D440+'3. General Model Inputs'!$D$53*D607)*D$6</f>
        <v>10067.335874999999</v>
      </c>
      <c r="E774" s="30">
        <f ca="1">(E273+E440+'3. General Model Inputs'!$D$53*E607)*E$6</f>
        <v>20214.371492343751</v>
      </c>
      <c r="F774" s="30">
        <f ca="1">(F273+F440+'3. General Model Inputs'!$D$53*F607)*F$6</f>
        <v>20368.548902031118</v>
      </c>
      <c r="G774" s="30">
        <f ca="1">(G273+G440+'3. General Model Inputs'!$D$53*G607)*G$6</f>
        <v>20517.801200020142</v>
      </c>
      <c r="H774" s="30">
        <f ca="1">(H273+H440+'3. General Model Inputs'!$D$53*H607)*H$6</f>
        <v>20661.785769844842</v>
      </c>
    </row>
    <row r="775" spans="2:8">
      <c r="B775" s="152">
        <f t="shared" si="29"/>
        <v>0</v>
      </c>
      <c r="D775" s="30">
        <f ca="1">(D274+D441+'3. General Model Inputs'!$D$53*D608)*D$6</f>
        <v>0</v>
      </c>
      <c r="E775" s="30">
        <f ca="1">(E274+E441+'3. General Model Inputs'!$D$53*E608)*E$6</f>
        <v>277.10962499999999</v>
      </c>
      <c r="F775" s="30">
        <f ca="1">(F274+F441+'3. General Model Inputs'!$D$53*F608)*F$6</f>
        <v>556.41303453124999</v>
      </c>
      <c r="G775" s="30">
        <f ca="1">(G274+G441+'3. General Model Inputs'!$D$53*G608)*G$6</f>
        <v>560.65686276072563</v>
      </c>
      <c r="H775" s="30">
        <f ca="1">(H274+H441+'3. General Model Inputs'!$D$53*H608)*H$6</f>
        <v>564.76512425509304</v>
      </c>
    </row>
    <row r="776" spans="2:8">
      <c r="B776" s="152">
        <f t="shared" si="29"/>
        <v>0</v>
      </c>
      <c r="D776" s="30">
        <f ca="1">(D275+D442+'3. General Model Inputs'!$D$53*D609)*D$6</f>
        <v>6685.0728750000017</v>
      </c>
      <c r="E776" s="30">
        <f ca="1">(E275+E442+'3. General Model Inputs'!$D$53*E609)*E$6</f>
        <v>13423.069243593753</v>
      </c>
      <c r="F776" s="30">
        <f ca="1">(F275+F442+'3. General Model Inputs'!$D$53*F609)*F$6</f>
        <v>13525.44858528218</v>
      </c>
      <c r="G776" s="30">
        <f ca="1">(G275+G442+'3. General Model Inputs'!$D$53*G609)*G$6</f>
        <v>13624.557475777783</v>
      </c>
      <c r="H776" s="30">
        <f ca="1">(H275+H442+'3. General Model Inputs'!$D$53*H609)*H$6</f>
        <v>13720.168405432365</v>
      </c>
    </row>
    <row r="777" spans="2:8">
      <c r="B777" s="152">
        <f t="shared" si="29"/>
        <v>0</v>
      </c>
      <c r="D777" s="30">
        <f ca="1">(D276+D443+'3. General Model Inputs'!$D$53*D610)*D$6</f>
        <v>0</v>
      </c>
      <c r="E777" s="30">
        <f ca="1">(E276+E443+'3. General Model Inputs'!$D$53*E610)*E$6</f>
        <v>2055.56475</v>
      </c>
      <c r="F777" s="30">
        <f ca="1">(F276+F443+'3. General Model Inputs'!$D$53*F610)*F$6</f>
        <v>4127.4027209374999</v>
      </c>
      <c r="G777" s="30">
        <f ca="1">(G276+G443+'3. General Model Inputs'!$D$53*G610)*G$6</f>
        <v>4158.8829111819387</v>
      </c>
      <c r="H777" s="30">
        <f ca="1">(H276+H443+'3. General Model Inputs'!$D$53*H610)*H$6</f>
        <v>4189.3574842380131</v>
      </c>
    </row>
    <row r="778" spans="2:8">
      <c r="B778" s="152">
        <f t="shared" si="29"/>
        <v>0</v>
      </c>
      <c r="D778" s="30">
        <f ca="1">(D277+D444+'3. General Model Inputs'!$D$53*D611)*D$6</f>
        <v>0</v>
      </c>
      <c r="E778" s="30">
        <f ca="1">(E277+E444+'3. General Model Inputs'!$D$53*E611)*E$6</f>
        <v>0</v>
      </c>
      <c r="F778" s="30">
        <f ca="1">(F277+F444+'3. General Model Inputs'!$D$53*F611)*F$6</f>
        <v>8153.8572204012571</v>
      </c>
      <c r="G778" s="30">
        <f ca="1">(G277+G444+'3. General Model Inputs'!$D$53*G611)*G$6</f>
        <v>16232.970749615502</v>
      </c>
      <c r="H778" s="30">
        <f ca="1">(H277+H444+'3. General Model Inputs'!$D$53*H611)*H$6</f>
        <v>16065.04346599879</v>
      </c>
    </row>
    <row r="779" spans="2:8">
      <c r="B779" s="152">
        <f t="shared" si="29"/>
        <v>0</v>
      </c>
      <c r="D779" s="30">
        <f ca="1">(D278+D445+'3. General Model Inputs'!$D$53*D612)*D$6</f>
        <v>205.8838750000001</v>
      </c>
      <c r="E779" s="30">
        <f ca="1">(E278+E445+'3. General Model Inputs'!$D$53*E612)*E$6</f>
        <v>413.3976640104168</v>
      </c>
      <c r="F779" s="30">
        <f ca="1">(F278+F445+'3. General Model Inputs'!$D$53*F612)*F$6</f>
        <v>416.5506970410047</v>
      </c>
      <c r="G779" s="30">
        <f ca="1">(G278+G445+'3. General Model Inputs'!$D$53*G612)*G$6</f>
        <v>419.60300818311555</v>
      </c>
      <c r="H779" s="30">
        <f ca="1">(H278+H445+'3. General Model Inputs'!$D$53*H612)*H$6</f>
        <v>422.54759069668125</v>
      </c>
    </row>
    <row r="780" spans="2:8">
      <c r="B780" s="152">
        <f t="shared" si="29"/>
        <v>0</v>
      </c>
      <c r="D780" s="30">
        <f ca="1">(D279+D446+'3. General Model Inputs'!$D$53*D613)*D$6</f>
        <v>0</v>
      </c>
      <c r="E780" s="30">
        <f ca="1">(E279+E446+'3. General Model Inputs'!$D$53*E613)*E$6</f>
        <v>2303.7294500000003</v>
      </c>
      <c r="F780" s="30">
        <f ca="1">(F279+F446+'3. General Model Inputs'!$D$53*F613)*F$6</f>
        <v>4625.696758145833</v>
      </c>
      <c r="G780" s="30">
        <f ca="1">(G279+G446+'3. General Model Inputs'!$D$53*G613)*G$6</f>
        <v>4660.9774961316916</v>
      </c>
      <c r="H780" s="30">
        <f ca="1">(H279+H446+'3. General Model Inputs'!$D$53*H613)*H$6</f>
        <v>4695.1312105430015</v>
      </c>
    </row>
    <row r="781" spans="2:8">
      <c r="B781" s="152">
        <f t="shared" si="29"/>
        <v>0</v>
      </c>
      <c r="D781" s="30">
        <f ca="1">(D280+D447+'3. General Model Inputs'!$D$53*D614)*D$6</f>
        <v>0</v>
      </c>
      <c r="E781" s="30">
        <f ca="1">(E280+E447+'3. General Model Inputs'!$D$53*E614)*E$6</f>
        <v>0</v>
      </c>
      <c r="F781" s="30">
        <f ca="1">(F280+F447+'3. General Model Inputs'!$D$53*F614)*F$6</f>
        <v>2700.625</v>
      </c>
      <c r="G781" s="30">
        <f ca="1">(G280+G447+'3. General Model Inputs'!$D$53*G614)*G$6</f>
        <v>5422.6299479166664</v>
      </c>
      <c r="H781" s="30">
        <f ca="1">(H280+H447+'3. General Model Inputs'!$D$53*H614)*H$6</f>
        <v>5463.9889898923029</v>
      </c>
    </row>
    <row r="782" spans="2:8">
      <c r="B782" s="152">
        <f t="shared" si="29"/>
        <v>0</v>
      </c>
      <c r="D782" s="30">
        <f ca="1">(D281+D448+'3. General Model Inputs'!$D$53*D615)*D$6</f>
        <v>1958.4672500000006</v>
      </c>
      <c r="E782" s="30">
        <f ca="1">(E281+E448+'3. General Model Inputs'!$D$53*E615)*E$6</f>
        <v>3932.4390323958346</v>
      </c>
      <c r="F782" s="30">
        <f ca="1">(F281+F448+'3. General Model Inputs'!$D$53*F615)*F$6</f>
        <v>3962.4322114564807</v>
      </c>
      <c r="G782" s="30">
        <f ca="1">(G281+G448+'3. General Model Inputs'!$D$53*G615)*G$6</f>
        <v>3991.4672750749119</v>
      </c>
      <c r="H782" s="30">
        <f ca="1">(H281+H448+'3. General Model Inputs'!$D$53*H615)*H$6</f>
        <v>4019.4775717421044</v>
      </c>
    </row>
    <row r="783" spans="2:8">
      <c r="B783" s="152">
        <f t="shared" si="29"/>
        <v>0</v>
      </c>
      <c r="D783" s="30">
        <f ca="1">(D282+D449+'3. General Model Inputs'!$D$53*D616)*D$6</f>
        <v>0</v>
      </c>
      <c r="E783" s="30">
        <f ca="1">(E282+E449+'3. General Model Inputs'!$D$53*E616)*E$6</f>
        <v>1441.8825000000002</v>
      </c>
      <c r="F783" s="30">
        <f ca="1">(F282+F449+'3. General Model Inputs'!$D$53*F616)*F$6</f>
        <v>2895.1799031250002</v>
      </c>
      <c r="G783" s="30">
        <f ca="1">(G282+G449+'3. General Model Inputs'!$D$53*G616)*G$6</f>
        <v>2917.2617837420553</v>
      </c>
      <c r="H783" s="30">
        <f ca="1">(H282+H449+'3. General Model Inputs'!$D$53*H616)*H$6</f>
        <v>2938.6382709505101</v>
      </c>
    </row>
    <row r="784" spans="2:8">
      <c r="B784" s="152">
        <f t="shared" si="29"/>
        <v>0</v>
      </c>
      <c r="D784" s="30">
        <f ca="1">(D283+D450+'3. General Model Inputs'!$D$53*D617)*D$6</f>
        <v>0</v>
      </c>
      <c r="E784" s="30">
        <f ca="1">(E283+E450+'3. General Model Inputs'!$D$53*E617)*E$6</f>
        <v>0</v>
      </c>
      <c r="F784" s="30">
        <f ca="1">(F283+F450+'3. General Model Inputs'!$D$53*F617)*F$6</f>
        <v>0</v>
      </c>
      <c r="G784" s="30">
        <f ca="1">(G283+G450+'3. General Model Inputs'!$D$53*G617)*G$6</f>
        <v>3271.1875</v>
      </c>
      <c r="H784" s="30">
        <f ca="1">(H283+H450+'3. General Model Inputs'!$D$53*H617)*H$6</f>
        <v>6568.2719010416668</v>
      </c>
    </row>
    <row r="785" spans="2:8">
      <c r="B785" s="152">
        <f t="shared" si="29"/>
        <v>0</v>
      </c>
      <c r="D785" s="30">
        <f ca="1">(D284+D451+'3. General Model Inputs'!$D$53*D618)*D$6</f>
        <v>1511.9935000000012</v>
      </c>
      <c r="E785" s="30">
        <f ca="1">(E284+E451+'3. General Model Inputs'!$D$53*E618)*E$6</f>
        <v>3035.9569485416687</v>
      </c>
      <c r="F785" s="30">
        <f ca="1">(F284+F451+'3. General Model Inputs'!$D$53*F618)*F$6</f>
        <v>3059.1125523864785</v>
      </c>
      <c r="G785" s="30">
        <f ca="1">(G284+G451+'3. General Model Inputs'!$D$53*G618)*G$6</f>
        <v>3081.5284633306896</v>
      </c>
      <c r="H785" s="30">
        <f ca="1">(H284+H451+'3. General Model Inputs'!$D$53*H618)*H$6</f>
        <v>3103.15322447687</v>
      </c>
    </row>
    <row r="786" spans="2:8">
      <c r="B786" s="152">
        <f t="shared" si="29"/>
        <v>0</v>
      </c>
      <c r="D786" s="30">
        <f ca="1">(D285+D452+'3. General Model Inputs'!$D$53*D619)*D$6</f>
        <v>1258.6229999999996</v>
      </c>
      <c r="E786" s="30">
        <f ca="1">(E285+E452+'3. General Model Inputs'!$D$53*E619)*E$6</f>
        <v>2527.2100987499994</v>
      </c>
      <c r="F786" s="30">
        <f ca="1">(F285+F452+'3. General Model Inputs'!$D$53*F619)*F$6</f>
        <v>2546.4854300116517</v>
      </c>
      <c r="G786" s="30">
        <f ca="1">(G285+G452+'3. General Model Inputs'!$D$53*G619)*G$6</f>
        <v>2565.1450215246682</v>
      </c>
      <c r="H786" s="30">
        <f ca="1">(H285+H452+'3. General Model Inputs'!$D$53*H619)*H$6</f>
        <v>2583.1460392195786</v>
      </c>
    </row>
    <row r="787" spans="2:8">
      <c r="B787" s="152">
        <f t="shared" si="29"/>
        <v>0</v>
      </c>
      <c r="D787" s="30">
        <f ca="1">(D286+D453+'3. General Model Inputs'!$D$53*D620)*D$6</f>
        <v>884.36162500000012</v>
      </c>
      <c r="E787" s="30">
        <f ca="1">(E286+E453+'3. General Model Inputs'!$D$53*E620)*E$6</f>
        <v>1779.5014073046877</v>
      </c>
      <c r="F787" s="30">
        <f ca="1">(F286+F453+'3. General Model Inputs'!$D$53*F620)*F$6</f>
        <v>1800.9004748608834</v>
      </c>
      <c r="G787" s="30">
        <f ca="1">(G286+G453+'3. General Model Inputs'!$D$53*G620)*G$6</f>
        <v>1822.2573074153236</v>
      </c>
      <c r="H787" s="30">
        <f ca="1">(H286+H453+'3. General Model Inputs'!$D$53*H620)*H$6</f>
        <v>1843.5564188006974</v>
      </c>
    </row>
    <row r="788" spans="2:8">
      <c r="B788" s="152">
        <f t="shared" si="29"/>
        <v>0</v>
      </c>
      <c r="D788" s="30">
        <f ca="1">(D287+D454+'3. General Model Inputs'!$D$53*D621)*D$6</f>
        <v>1779.9901250000003</v>
      </c>
      <c r="E788" s="30">
        <f ca="1">(E287+E454+'3. General Model Inputs'!$D$53*E621)*E$6</f>
        <v>3422.031015312501</v>
      </c>
      <c r="F788" s="30">
        <f ca="1">(F287+F454+'3. General Model Inputs'!$D$53*F621)*F$6</f>
        <v>3117.8504806180563</v>
      </c>
      <c r="G788" s="30">
        <f ca="1">(G287+G454+'3. General Model Inputs'!$D$53*G621)*G$6</f>
        <v>2796.322149804319</v>
      </c>
      <c r="H788" s="30">
        <f ca="1">(H287+H454+'3. General Model Inputs'!$D$53*H621)*H$6</f>
        <v>2456.7687458995088</v>
      </c>
    </row>
    <row r="789" spans="2:8">
      <c r="B789" s="152">
        <f t="shared" si="29"/>
        <v>0</v>
      </c>
      <c r="D789" s="30">
        <f ca="1">(D288+D455+'3. General Model Inputs'!$D$53*D622)*D$6</f>
        <v>310.109375</v>
      </c>
      <c r="E789" s="30">
        <f ca="1">(E288+E455+'3. General Model Inputs'!$D$53*E622)*E$6</f>
        <v>564.39906250000001</v>
      </c>
      <c r="F789" s="30">
        <f ca="1">(F288+F455+'3. General Model Inputs'!$D$53*F622)*F$6</f>
        <v>433.88177929687504</v>
      </c>
      <c r="G789" s="30">
        <f ca="1">(G288+G455+'3. General Model Inputs'!$D$53*G622)*G$6</f>
        <v>296.48588251953123</v>
      </c>
      <c r="H789" s="30">
        <f ca="1">(H288+H455+'3. General Model Inputs'!$D$53*H622)*H$6</f>
        <v>151.94901479125977</v>
      </c>
    </row>
    <row r="790" spans="2:8">
      <c r="B790" s="152">
        <f t="shared" si="29"/>
        <v>0</v>
      </c>
      <c r="D790" s="30">
        <f ca="1">(D289+D456+'3. General Model Inputs'!$D$53*D623)*D$6</f>
        <v>0</v>
      </c>
      <c r="E790" s="30">
        <f ca="1">(E289+E456+'3. General Model Inputs'!$D$53*E623)*E$6</f>
        <v>2687.5</v>
      </c>
      <c r="F790" s="30">
        <f ca="1">(F289+F456+'3. General Model Inputs'!$D$53*F623)*F$6</f>
        <v>5258.541666666667</v>
      </c>
      <c r="G790" s="30">
        <f ca="1">(G289+G456+'3. General Model Inputs'!$D$53*G623)*G$6</f>
        <v>5005.0048363095239</v>
      </c>
      <c r="H790" s="30">
        <f ca="1">(H289+H456+'3. General Model Inputs'!$D$53*H623)*H$6</f>
        <v>4735.5045758928572</v>
      </c>
    </row>
    <row r="791" spans="2:8">
      <c r="B791" s="152">
        <f t="shared" si="29"/>
        <v>0</v>
      </c>
      <c r="D791" s="30">
        <f ca="1">(D290+D457+'3. General Model Inputs'!$D$53*D624)*D$6</f>
        <v>7187.5414999999994</v>
      </c>
      <c r="E791" s="30">
        <f ca="1">(E290+E457+'3. General Model Inputs'!$D$53*E624)*E$6</f>
        <v>13081.32553</v>
      </c>
      <c r="F791" s="30">
        <f ca="1">(F290+F457+'3. General Model Inputs'!$D$53*F624)*F$6</f>
        <v>10056.269001187502</v>
      </c>
      <c r="G791" s="30">
        <f ca="1">(G290+G457+'3. General Model Inputs'!$D$53*G624)*G$6</f>
        <v>6871.7838174781273</v>
      </c>
      <c r="H791" s="30">
        <f ca="1">(H290+H457+'3. General Model Inputs'!$D$53*H624)*H$6</f>
        <v>3521.7892064575399</v>
      </c>
    </row>
    <row r="792" spans="2:8">
      <c r="B792" s="152">
        <f t="shared" si="29"/>
        <v>0</v>
      </c>
      <c r="D792" s="30">
        <f ca="1">(D291+D458+'3. General Model Inputs'!$D$53*D625)*D$6</f>
        <v>0</v>
      </c>
      <c r="E792" s="30">
        <f ca="1">(E291+E458+'3. General Model Inputs'!$D$53*E625)*E$6</f>
        <v>5243.7500000000009</v>
      </c>
      <c r="F792" s="30">
        <f ca="1">(F291+F458+'3. General Model Inputs'!$D$53*F625)*F$6</f>
        <v>9543.6250000000018</v>
      </c>
      <c r="G792" s="30">
        <f ca="1">(G291+G458+'3. General Model Inputs'!$D$53*G625)*G$6</f>
        <v>7336.6617187500015</v>
      </c>
      <c r="H792" s="30">
        <f ca="1">(H291+H458+'3. General Model Inputs'!$D$53*H625)*H$6</f>
        <v>5013.3855078125016</v>
      </c>
    </row>
    <row r="793" spans="2:8">
      <c r="B793" s="152">
        <f t="shared" si="29"/>
        <v>0</v>
      </c>
      <c r="D793" s="30">
        <f ca="1">(D292+D459+'3. General Model Inputs'!$D$53*D626)*D$6</f>
        <v>0</v>
      </c>
      <c r="E793" s="30">
        <f ca="1">(E292+E459+'3. General Model Inputs'!$D$53*E626)*E$6</f>
        <v>0</v>
      </c>
      <c r="F793" s="30">
        <f ca="1">(F292+F459+'3. General Model Inputs'!$D$53*F626)*F$6</f>
        <v>5625</v>
      </c>
      <c r="G793" s="30">
        <f ca="1">(G292+G459+'3. General Model Inputs'!$D$53*G626)*G$6</f>
        <v>10237.5</v>
      </c>
      <c r="H793" s="30">
        <f ca="1">(H292+H459+'3. General Model Inputs'!$D$53*H626)*H$6</f>
        <v>7870.078125</v>
      </c>
    </row>
    <row r="794" spans="2:8">
      <c r="B794" s="152">
        <f t="shared" si="29"/>
        <v>0</v>
      </c>
      <c r="D794" s="30">
        <f ca="1">(D293+D460+'3. General Model Inputs'!$D$53*D627)*D$6</f>
        <v>0</v>
      </c>
      <c r="E794" s="30">
        <f ca="1">(E293+E460+'3. General Model Inputs'!$D$53*E627)*E$6</f>
        <v>0</v>
      </c>
      <c r="F794" s="30">
        <f ca="1">(F293+F460+'3. General Model Inputs'!$D$53*F627)*F$6</f>
        <v>0</v>
      </c>
      <c r="G794" s="30">
        <f ca="1">(G293+G460+'3. General Model Inputs'!$D$53*G627)*G$6</f>
        <v>5625</v>
      </c>
      <c r="H794" s="30">
        <f ca="1">(H293+H460+'3. General Model Inputs'!$D$53*H627)*H$6</f>
        <v>10237.5</v>
      </c>
    </row>
    <row r="795" spans="2:8">
      <c r="B795" s="152">
        <f t="shared" si="29"/>
        <v>0</v>
      </c>
      <c r="D795" s="30">
        <f ca="1">(D294+D461+'3. General Model Inputs'!$D$53*D628)*D$6</f>
        <v>0</v>
      </c>
      <c r="E795" s="30">
        <f ca="1">(E294+E461+'3. General Model Inputs'!$D$53*E628)*E$6</f>
        <v>0</v>
      </c>
      <c r="F795" s="30">
        <f ca="1">(F294+F461+'3. General Model Inputs'!$D$53*F628)*F$6</f>
        <v>0</v>
      </c>
      <c r="G795" s="30">
        <f ca="1">(G294+G461+'3. General Model Inputs'!$D$53*G628)*G$6</f>
        <v>0</v>
      </c>
      <c r="H795" s="30">
        <f ca="1">(H294+H461+'3. General Model Inputs'!$D$53*H628)*H$6</f>
        <v>5625</v>
      </c>
    </row>
    <row r="796" spans="2:8">
      <c r="B796" s="152">
        <f t="shared" si="29"/>
        <v>0</v>
      </c>
      <c r="D796" s="30">
        <f ca="1">(D295+D462+'3. General Model Inputs'!$D$53*D629)*D$6</f>
        <v>6187.6587500000005</v>
      </c>
      <c r="E796" s="30">
        <f ca="1">(E295+E462+'3. General Model Inputs'!$D$53*E629)*E$6</f>
        <v>11261.538925000001</v>
      </c>
      <c r="F796" s="30">
        <f ca="1">(F295+F462+'3. General Model Inputs'!$D$53*F629)*F$6</f>
        <v>8657.3080485937517</v>
      </c>
      <c r="G796" s="30">
        <f ca="1">(G295+G462+'3. General Model Inputs'!$D$53*G629)*G$6</f>
        <v>5915.827166539063</v>
      </c>
      <c r="H796" s="30">
        <f ca="1">(H295+H462+'3. General Model Inputs'!$D$53*H629)*H$6</f>
        <v>3031.8614228512697</v>
      </c>
    </row>
    <row r="797" spans="2:8">
      <c r="B797" s="152">
        <f t="shared" si="29"/>
        <v>0</v>
      </c>
      <c r="D797" s="30">
        <f ca="1">(D296+D463+'3. General Model Inputs'!$D$53*D630)*D$6</f>
        <v>0</v>
      </c>
      <c r="E797" s="30">
        <f ca="1">(E296+E463+'3. General Model Inputs'!$D$53*E630)*E$6</f>
        <v>6737.5</v>
      </c>
      <c r="F797" s="30">
        <f ca="1">(F296+F463+'3. General Model Inputs'!$D$53*F630)*F$6</f>
        <v>13470.7890625</v>
      </c>
      <c r="G797" s="30">
        <f ca="1">(G296+G463+'3. General Model Inputs'!$D$53*G630)*G$6</f>
        <v>13453.518820112178</v>
      </c>
      <c r="H797" s="30">
        <f ca="1">(H296+H463+'3. General Model Inputs'!$D$53*H630)*H$6</f>
        <v>13426.965822440905</v>
      </c>
    </row>
    <row r="798" spans="2:8">
      <c r="B798" s="152">
        <f t="shared" si="29"/>
        <v>0</v>
      </c>
      <c r="D798" s="30">
        <f ca="1">(D297+D464+'3. General Model Inputs'!$D$53*D631)*D$6</f>
        <v>0</v>
      </c>
      <c r="E798" s="30">
        <f ca="1">(E297+E464+'3. General Model Inputs'!$D$53*E631)*E$6</f>
        <v>476.66650000000004</v>
      </c>
      <c r="F798" s="30">
        <f ca="1">(F297+F464+'3. General Model Inputs'!$D$53*F631)*F$6</f>
        <v>953.03508343750002</v>
      </c>
      <c r="G798" s="30">
        <f ca="1">(G297+G464+'3. General Model Inputs'!$D$53*G631)*G$6</f>
        <v>951.81324358693917</v>
      </c>
      <c r="H798" s="30">
        <f ca="1">(H297+H464+'3. General Model Inputs'!$D$53*H631)*H$6</f>
        <v>949.93466481670191</v>
      </c>
    </row>
    <row r="799" spans="2:8">
      <c r="B799" s="152">
        <f t="shared" si="29"/>
        <v>0</v>
      </c>
      <c r="D799" s="30">
        <f ca="1">(D298+D465+'3. General Model Inputs'!$D$53*D632)*D$6</f>
        <v>0</v>
      </c>
      <c r="E799" s="30">
        <f ca="1">(E298+E465+'3. General Model Inputs'!$D$53*E632)*E$6</f>
        <v>5337.2000000000007</v>
      </c>
      <c r="F799" s="30">
        <f ca="1">(F298+F465+'3. General Model Inputs'!$D$53*F632)*F$6</f>
        <v>10671.064250000001</v>
      </c>
      <c r="G799" s="30">
        <f ca="1">(G298+G465+'3. General Model Inputs'!$D$53*G632)*G$6</f>
        <v>10657.383398397436</v>
      </c>
      <c r="H799" s="30">
        <f ca="1">(H298+H465+'3. General Model Inputs'!$D$53*H632)*H$6</f>
        <v>10636.349089058494</v>
      </c>
    </row>
    <row r="800" spans="2:8">
      <c r="B800" s="152">
        <f t="shared" si="29"/>
        <v>0</v>
      </c>
      <c r="D800" s="30">
        <f ca="1">(D299+D466+'3. General Model Inputs'!$D$53*D633)*D$6</f>
        <v>0</v>
      </c>
      <c r="E800" s="30">
        <f ca="1">(E299+E466+'3. General Model Inputs'!$D$53*E633)*E$6</f>
        <v>15796.075000000001</v>
      </c>
      <c r="F800" s="30">
        <f ca="1">(F299+F466+'3. General Model Inputs'!$D$53*F633)*F$6</f>
        <v>31582.277453125003</v>
      </c>
      <c r="G800" s="30">
        <f ca="1">(G299+G466+'3. General Model Inputs'!$D$53*G633)*G$6</f>
        <v>31541.787353826123</v>
      </c>
      <c r="H800" s="30">
        <f ca="1">(H299+H466+'3. General Model Inputs'!$D$53*H633)*H$6</f>
        <v>31479.5338261541</v>
      </c>
    </row>
    <row r="801" spans="2:8">
      <c r="B801" s="152">
        <f t="shared" si="29"/>
        <v>0</v>
      </c>
      <c r="D801" s="30">
        <f ca="1">(D300+D467+'3. General Model Inputs'!$D$53*D634)*D$6</f>
        <v>0</v>
      </c>
      <c r="E801" s="30">
        <f ca="1">(E300+E467+'3. General Model Inputs'!$D$53*E634)*E$6</f>
        <v>6490</v>
      </c>
      <c r="F801" s="30">
        <f ca="1">(F300+F467+'3. General Model Inputs'!$D$53*F634)*F$6</f>
        <v>12975.94375</v>
      </c>
      <c r="G801" s="30">
        <f ca="1">(G300+G467+'3. General Model Inputs'!$D$53*G634)*G$6</f>
        <v>12959.307924679488</v>
      </c>
      <c r="H801" s="30">
        <f ca="1">(H300+H467+'3. General Model Inputs'!$D$53*H634)*H$6</f>
        <v>12933.730343249197</v>
      </c>
    </row>
    <row r="802" spans="2:8">
      <c r="B802" s="152">
        <f t="shared" si="29"/>
        <v>0</v>
      </c>
      <c r="D802" s="30">
        <f ca="1">(D301+D468+'3. General Model Inputs'!$D$53*D635)*D$6</f>
        <v>0</v>
      </c>
      <c r="E802" s="30">
        <f ca="1">(E301+E468+'3. General Model Inputs'!$D$53*E635)*E$6</f>
        <v>4056.25</v>
      </c>
      <c r="F802" s="30">
        <f ca="1">(F301+F468+'3. General Model Inputs'!$D$53*F635)*F$6</f>
        <v>8109.96484375</v>
      </c>
      <c r="G802" s="30">
        <f ca="1">(G301+G468+'3. General Model Inputs'!$D$53*G635)*G$6</f>
        <v>8099.5674529246799</v>
      </c>
      <c r="H802" s="30">
        <f ca="1">(H301+H468+'3. General Model Inputs'!$D$53*H635)*H$6</f>
        <v>8083.5814645307491</v>
      </c>
    </row>
    <row r="803" spans="2:8">
      <c r="B803" s="152">
        <f t="shared" si="29"/>
        <v>0</v>
      </c>
      <c r="D803" s="30">
        <f ca="1">(D302+D469+'3. General Model Inputs'!$D$53*D636)*D$6</f>
        <v>780.42399999999986</v>
      </c>
      <c r="E803" s="30">
        <f ca="1">(E302+E469+'3. General Model Inputs'!$D$53*E636)*E$6</f>
        <v>1570.3594174999998</v>
      </c>
      <c r="F803" s="30">
        <f ca="1">(F302+F469+'3. General Model Inputs'!$D$53*F636)*F$6</f>
        <v>1589.24348644462</v>
      </c>
      <c r="G803" s="30">
        <f ca="1">(G302+G469+'3. General Model Inputs'!$D$53*G636)*G$6</f>
        <v>1608.0902842005337</v>
      </c>
      <c r="H803" s="30">
        <f ca="1">(H302+H469+'3. General Model Inputs'!$D$53*H636)*H$6</f>
        <v>1626.8861446652154</v>
      </c>
    </row>
    <row r="804" spans="2:8">
      <c r="B804" s="152">
        <f t="shared" si="29"/>
        <v>0</v>
      </c>
      <c r="D804" s="30">
        <f ca="1">(D303+D470+'3. General Model Inputs'!$D$53*D637)*D$6</f>
        <v>0</v>
      </c>
      <c r="E804" s="30">
        <f ca="1">(E303+E470+'3. General Model Inputs'!$D$53*E637)*E$6</f>
        <v>3500</v>
      </c>
      <c r="F804" s="30">
        <f ca="1">(F303+F470+'3. General Model Inputs'!$D$53*F637)*F$6</f>
        <v>6370</v>
      </c>
      <c r="G804" s="30">
        <f ca="1">(G303+G470+'3. General Model Inputs'!$D$53*G637)*G$6</f>
        <v>4896.9375</v>
      </c>
      <c r="H804" s="30">
        <f ca="1">(H303+H470+'3. General Model Inputs'!$D$53*H637)*H$6</f>
        <v>3346.2406250000004</v>
      </c>
    </row>
    <row r="805" spans="2:8">
      <c r="B805" s="152">
        <f t="shared" si="29"/>
        <v>0</v>
      </c>
      <c r="D805" s="30">
        <f ca="1">(D304+D471+'3. General Model Inputs'!$D$53*D638)*D$6</f>
        <v>434.01525000000004</v>
      </c>
      <c r="E805" s="30">
        <f ca="1">(E304+E471+'3. General Model Inputs'!$D$53*E638)*E$6</f>
        <v>856.63759968750003</v>
      </c>
      <c r="F805" s="30">
        <f ca="1">(F304+F471+'3. General Model Inputs'!$D$53*F638)*F$6</f>
        <v>831.84019548601975</v>
      </c>
      <c r="G805" s="30">
        <f ca="1">(G304+G471+'3. General Model Inputs'!$D$53*G638)*G$6</f>
        <v>805.26752257466069</v>
      </c>
      <c r="H805" s="30">
        <f ca="1">(H304+H471+'3. General Model Inputs'!$D$53*H638)*H$6</f>
        <v>776.84631589555511</v>
      </c>
    </row>
    <row r="806" spans="2:8">
      <c r="B806" s="152">
        <f t="shared" si="29"/>
        <v>0</v>
      </c>
      <c r="D806" s="30">
        <f ca="1">(D305+D472+'3. General Model Inputs'!$D$53*D639)*D$6</f>
        <v>61.697375000000001</v>
      </c>
      <c r="E806" s="30">
        <f ca="1">(E305+E472+'3. General Model Inputs'!$D$53*E639)*E$6</f>
        <v>124.1466867578125</v>
      </c>
      <c r="F806" s="30">
        <f ca="1">(F305+F472+'3. General Model Inputs'!$D$53*F639)*F$6</f>
        <v>125.63958995300139</v>
      </c>
      <c r="G806" s="30">
        <f ca="1">(G305+G472+'3. General Model Inputs'!$D$53*G639)*G$6</f>
        <v>127.12954662872608</v>
      </c>
      <c r="H806" s="30">
        <f ca="1">(H305+H472+'3. General Model Inputs'!$D$53*H639)*H$6</f>
        <v>128.61547639451641</v>
      </c>
    </row>
    <row r="807" spans="2:8">
      <c r="B807" s="152">
        <f t="shared" si="29"/>
        <v>0</v>
      </c>
      <c r="D807" s="30">
        <f ca="1">(D306+D473+'3. General Model Inputs'!$D$53*D640)*D$6</f>
        <v>1261.5523750000002</v>
      </c>
      <c r="E807" s="30">
        <f ca="1">(E306+E473+'3. General Model Inputs'!$D$53*E640)*E$6</f>
        <v>2522.3162797656259</v>
      </c>
      <c r="F807" s="30">
        <f ca="1">(F306+F473+'3. General Model Inputs'!$D$53*F640)*F$6</f>
        <v>2519.0825409454137</v>
      </c>
      <c r="G807" s="30">
        <f ca="1">(G306+G473+'3. General Model Inputs'!$D$53*G640)*G$6</f>
        <v>2514.110667509337</v>
      </c>
      <c r="H807" s="30">
        <f ca="1">(H306+H473+'3. General Model Inputs'!$D$53*H640)*H$6</f>
        <v>2507.3157738133655</v>
      </c>
    </row>
    <row r="808" spans="2:8">
      <c r="B808" s="152">
        <f t="shared" si="29"/>
        <v>0</v>
      </c>
      <c r="D808" s="30">
        <f ca="1">(D307+D474+'3. General Model Inputs'!$D$53*D641)*D$6</f>
        <v>105.37375</v>
      </c>
      <c r="E808" s="30">
        <f ca="1">(E307+E474+'3. General Model Inputs'!$D$53*E641)*E$6</f>
        <v>211.58170885416666</v>
      </c>
      <c r="F808" s="30">
        <f ca="1">(F307+F474+'3. General Model Inputs'!$D$53*F641)*F$6</f>
        <v>213.195467650512</v>
      </c>
      <c r="G808" s="30">
        <f ca="1">(G307+G474+'3. General Model Inputs'!$D$53*G641)*G$6</f>
        <v>214.75767581864076</v>
      </c>
      <c r="H808" s="30">
        <f ca="1">(H307+H474+'3. General Model Inputs'!$D$53*H641)*H$6</f>
        <v>216.26474722789436</v>
      </c>
    </row>
    <row r="809" spans="2:8">
      <c r="B809" s="152">
        <f t="shared" si="29"/>
        <v>0</v>
      </c>
      <c r="D809" s="30">
        <f ca="1">(D308+D475+'3. General Model Inputs'!$D$53*D642)*D$6</f>
        <v>437.64750000000015</v>
      </c>
      <c r="E809" s="30">
        <f ca="1">(E308+E475+'3. General Model Inputs'!$D$53*E642)*E$6</f>
        <v>878.75970937500028</v>
      </c>
      <c r="F809" s="30">
        <f ca="1">(F308+F475+'3. General Model Inputs'!$D$53*F642)*F$6</f>
        <v>885.46211393802992</v>
      </c>
      <c r="G809" s="30">
        <f ca="1">(G308+G475+'3. General Model Inputs'!$D$53*G642)*G$6</f>
        <v>891.95041391085181</v>
      </c>
      <c r="H809" s="30">
        <f ca="1">(H308+H475+'3. General Model Inputs'!$D$53*H642)*H$6</f>
        <v>898.20971506110345</v>
      </c>
    </row>
    <row r="810" spans="2:8">
      <c r="B810" s="152">
        <f t="shared" si="29"/>
        <v>0</v>
      </c>
      <c r="D810" s="30">
        <f ca="1">(D309+D476+'3. General Model Inputs'!$D$53*D643)*D$6</f>
        <v>0</v>
      </c>
      <c r="E810" s="30">
        <f ca="1">(E309+E476+'3. General Model Inputs'!$D$53*E643)*E$6</f>
        <v>687.5</v>
      </c>
      <c r="F810" s="30">
        <f ca="1">(F309+F476+'3. General Model Inputs'!$D$53*F643)*F$6</f>
        <v>1380.4427083333335</v>
      </c>
      <c r="G810" s="30">
        <f ca="1">(G309+G476+'3. General Model Inputs'!$D$53*G643)*G$6</f>
        <v>1390.9715086511301</v>
      </c>
      <c r="H810" s="30">
        <f ca="1">(H309+H476+'3. General Model Inputs'!$D$53*H643)*H$6</f>
        <v>1401.1639722921082</v>
      </c>
    </row>
    <row r="811" spans="2:8">
      <c r="B811" s="152">
        <f t="shared" si="29"/>
        <v>0</v>
      </c>
      <c r="D811" s="30">
        <f ca="1">(D310+D477+'3. General Model Inputs'!$D$53*D644)*D$6</f>
        <v>0</v>
      </c>
      <c r="E811" s="30">
        <f ca="1">(E310+E477+'3. General Model Inputs'!$D$53*E644)*E$6</f>
        <v>0</v>
      </c>
      <c r="F811" s="30">
        <f ca="1">(F310+F477+'3. General Model Inputs'!$D$53*F644)*F$6</f>
        <v>250</v>
      </c>
      <c r="G811" s="30">
        <f ca="1">(G310+G477+'3. General Model Inputs'!$D$53*G644)*G$6</f>
        <v>501.97916666666674</v>
      </c>
      <c r="H811" s="30">
        <f ca="1">(H310+H477+'3. General Model Inputs'!$D$53*H644)*H$6</f>
        <v>505.80782132768365</v>
      </c>
    </row>
    <row r="812" spans="2:8">
      <c r="B812" s="152">
        <f t="shared" si="29"/>
        <v>0</v>
      </c>
      <c r="D812" s="30">
        <f ca="1">(D311+D478+'3. General Model Inputs'!$D$53*D645)*D$6</f>
        <v>0</v>
      </c>
      <c r="E812" s="30">
        <f ca="1">(E311+E478+'3. General Model Inputs'!$D$53*E645)*E$6</f>
        <v>0</v>
      </c>
      <c r="F812" s="30">
        <f ca="1">(F311+F478+'3. General Model Inputs'!$D$53*F645)*F$6</f>
        <v>0</v>
      </c>
      <c r="G812" s="30">
        <f ca="1">(G311+G478+'3. General Model Inputs'!$D$53*G645)*G$6</f>
        <v>250</v>
      </c>
      <c r="H812" s="30">
        <f ca="1">(H311+H478+'3. General Model Inputs'!$D$53*H645)*H$6</f>
        <v>501.97916666666674</v>
      </c>
    </row>
    <row r="813" spans="2:8">
      <c r="B813" s="152">
        <f t="shared" si="29"/>
        <v>0</v>
      </c>
      <c r="D813" s="30">
        <f ca="1">(D312+D479+'3. General Model Inputs'!$D$53*D646)*D$6</f>
        <v>0</v>
      </c>
      <c r="E813" s="30">
        <f ca="1">(E312+E479+'3. General Model Inputs'!$D$53*E646)*E$6</f>
        <v>0</v>
      </c>
      <c r="F813" s="30">
        <f ca="1">(F312+F479+'3. General Model Inputs'!$D$53*F646)*F$6</f>
        <v>0</v>
      </c>
      <c r="G813" s="30">
        <f ca="1">(G312+G479+'3. General Model Inputs'!$D$53*G646)*G$6</f>
        <v>0</v>
      </c>
      <c r="H813" s="30">
        <f ca="1">(H312+H479+'3. General Model Inputs'!$D$53*H646)*H$6</f>
        <v>250</v>
      </c>
    </row>
    <row r="814" spans="2:8">
      <c r="B814" s="152">
        <f t="shared" si="29"/>
        <v>0</v>
      </c>
      <c r="D814" s="30">
        <f ca="1">(D313+D480+'3. General Model Inputs'!$D$53*D647)*D$6</f>
        <v>430.34587499999992</v>
      </c>
      <c r="E814" s="30">
        <f ca="1">(E313+E480+'3. General Model Inputs'!$D$53*E647)*E$6</f>
        <v>860.42278382812481</v>
      </c>
      <c r="F814" s="30">
        <f ca="1">(F313+F480+'3. General Model Inputs'!$D$53*F647)*F$6</f>
        <v>859.31967769501171</v>
      </c>
      <c r="G814" s="30">
        <f ca="1">(G313+G480+'3. General Model Inputs'!$D$53*G647)*G$6</f>
        <v>857.62365201535056</v>
      </c>
      <c r="H814" s="30">
        <f ca="1">(H313+H480+'3. General Model Inputs'!$D$53*H647)*H$6</f>
        <v>855.30575025314693</v>
      </c>
    </row>
    <row r="815" spans="2:8">
      <c r="B815" s="152">
        <f t="shared" si="29"/>
        <v>0</v>
      </c>
      <c r="D815" s="30">
        <f ca="1">(D314+D481+'3. General Model Inputs'!$D$53*D648)*D$6</f>
        <v>14285.236375000002</v>
      </c>
      <c r="E815" s="30">
        <f ca="1">(E314+E481+'3. General Model Inputs'!$D$53*E648)*E$6</f>
        <v>28683.564204635419</v>
      </c>
      <c r="F815" s="30">
        <f ca="1">(F314+F481+'3. General Model Inputs'!$D$53*F648)*F$6</f>
        <v>28902.337151958913</v>
      </c>
      <c r="G815" s="30">
        <f ca="1">(G314+G481+'3. General Model Inputs'!$D$53*G648)*G$6</f>
        <v>29114.121519020679</v>
      </c>
      <c r="H815" s="30">
        <f ca="1">(H314+H481+'3. General Model Inputs'!$D$53*H648)*H$6</f>
        <v>29318.431143715559</v>
      </c>
    </row>
    <row r="816" spans="2:8">
      <c r="B816" s="152">
        <f t="shared" si="29"/>
        <v>0</v>
      </c>
      <c r="D816" s="30">
        <f ca="1">(D315+D482+'3. General Model Inputs'!$D$53*D649)*D$6</f>
        <v>0</v>
      </c>
      <c r="E816" s="30">
        <f ca="1">(E315+E482+'3. General Model Inputs'!$D$53*E649)*E$6</f>
        <v>255.71250000000001</v>
      </c>
      <c r="F816" s="30">
        <f ca="1">(F315+F482+'3. General Model Inputs'!$D$53*F649)*F$6</f>
        <v>513.44939062499998</v>
      </c>
      <c r="G816" s="30">
        <f ca="1">(G315+G482+'3. General Model Inputs'!$D$53*G649)*G$6</f>
        <v>517.36553004502116</v>
      </c>
      <c r="H816" s="30">
        <f ca="1">(H315+H482+'3. General Model Inputs'!$D$53*H649)*H$6</f>
        <v>521.15657056690281</v>
      </c>
    </row>
    <row r="817" spans="2:8">
      <c r="B817" s="152">
        <f t="shared" si="29"/>
        <v>0</v>
      </c>
      <c r="D817" s="30">
        <f ca="1">(D316+D483+'3. General Model Inputs'!$D$53*D650)*D$6</f>
        <v>1495.3780000000002</v>
      </c>
      <c r="E817" s="30">
        <f ca="1">(E316+E483+'3. General Model Inputs'!$D$53*E650)*E$6</f>
        <v>2951.5023275000003</v>
      </c>
      <c r="F817" s="30">
        <f ca="1">(F316+F483+'3. General Model Inputs'!$D$53*F650)*F$6</f>
        <v>2866.0641022302634</v>
      </c>
      <c r="G817" s="30">
        <f ca="1">(G316+G483+'3. General Model Inputs'!$D$53*G650)*G$6</f>
        <v>2774.5092767423521</v>
      </c>
      <c r="H817" s="30">
        <f ca="1">(H316+H483+'3. General Model Inputs'!$D$53*H650)*H$6</f>
        <v>2676.5854199161513</v>
      </c>
    </row>
    <row r="818" spans="2:8">
      <c r="B818" s="152">
        <f t="shared" si="29"/>
        <v>0</v>
      </c>
      <c r="D818" s="30">
        <f ca="1">(D317+D484+'3. General Model Inputs'!$D$53*D651)*D$6</f>
        <v>0</v>
      </c>
      <c r="E818" s="30">
        <f ca="1">(E317+E484+'3. General Model Inputs'!$D$53*E651)*E$6</f>
        <v>498.32500000000005</v>
      </c>
      <c r="F818" s="30">
        <f ca="1">(F317+F484+'3. General Model Inputs'!$D$53*F651)*F$6</f>
        <v>983.56896875000007</v>
      </c>
      <c r="G818" s="30">
        <f ca="1">(G317+G484+'3. General Model Inputs'!$D$53*G651)*G$6</f>
        <v>955.09723544407905</v>
      </c>
      <c r="H818" s="30">
        <f ca="1">(H317+H484+'3. General Model Inputs'!$D$53*H651)*H$6</f>
        <v>924.58718486739326</v>
      </c>
    </row>
    <row r="819" spans="2:8">
      <c r="B819" s="152">
        <f t="shared" ref="B819:B853" si="30">B652</f>
        <v>0</v>
      </c>
      <c r="D819" s="30">
        <f ca="1">(D318+D485+'3. General Model Inputs'!$D$53*D652)*D$6</f>
        <v>0</v>
      </c>
      <c r="E819" s="30">
        <f ca="1">(E318+E485+'3. General Model Inputs'!$D$53*E652)*E$6</f>
        <v>13011.712500000001</v>
      </c>
      <c r="F819" s="30">
        <f ca="1">(F318+F485+'3. General Model Inputs'!$D$53*F652)*F$6</f>
        <v>0</v>
      </c>
      <c r="G819" s="30">
        <f ca="1">(G318+G485+'3. General Model Inputs'!$D$53*G652)*G$6</f>
        <v>0</v>
      </c>
      <c r="H819" s="30">
        <f ca="1">(H318+H485+'3. General Model Inputs'!$D$53*H652)*H$6</f>
        <v>0</v>
      </c>
    </row>
    <row r="820" spans="2:8">
      <c r="B820" s="152">
        <f t="shared" si="30"/>
        <v>0</v>
      </c>
      <c r="D820" s="30">
        <f ca="1">(D319+D486+'3. General Model Inputs'!$D$53*D653)*D$6</f>
        <v>1546.5461250000001</v>
      </c>
      <c r="E820" s="30">
        <f ca="1">(E319+E486+'3. General Model Inputs'!$D$53*E653)*E$6</f>
        <v>3052.4954142187503</v>
      </c>
      <c r="F820" s="30">
        <f ca="1">(F319+F486+'3. General Model Inputs'!$D$53*F653)*F$6</f>
        <v>2964.1337048597866</v>
      </c>
      <c r="G820" s="30">
        <f ca="1">(G319+G486+'3. General Model Inputs'!$D$53*G653)*G$6</f>
        <v>2869.4461003989877</v>
      </c>
      <c r="H820" s="30">
        <f ca="1">(H319+H486+'3. General Model Inputs'!$D$53*H653)*H$6</f>
        <v>2768.1715321496117</v>
      </c>
    </row>
    <row r="821" spans="2:8">
      <c r="B821" s="152">
        <f t="shared" si="30"/>
        <v>0</v>
      </c>
      <c r="D821" s="30">
        <f ca="1">(D320+D487+'3. General Model Inputs'!$D$53*D654)*D$6</f>
        <v>0</v>
      </c>
      <c r="E821" s="30">
        <f ca="1">(E320+E487+'3. General Model Inputs'!$D$53*E654)*E$6</f>
        <v>11807.65425</v>
      </c>
      <c r="F821" s="30">
        <f ca="1">(F320+F487+'3. General Model Inputs'!$D$53*F654)*F$6</f>
        <v>23305.357575937502</v>
      </c>
      <c r="G821" s="30">
        <f ca="1">(G320+G487+'3. General Model Inputs'!$D$53*G654)*G$6</f>
        <v>22630.728804002472</v>
      </c>
      <c r="H821" s="30">
        <f ca="1">(H320+H487+'3. General Model Inputs'!$D$53*H654)*H$6</f>
        <v>21907.802744985725</v>
      </c>
    </row>
    <row r="822" spans="2:8">
      <c r="B822" s="152">
        <f t="shared" si="30"/>
        <v>0</v>
      </c>
      <c r="D822" s="30">
        <f ca="1">(D321+D488+'3. General Model Inputs'!$D$53*D655)*D$6</f>
        <v>0</v>
      </c>
      <c r="E822" s="30">
        <f ca="1">(E321+E488+'3. General Model Inputs'!$D$53*E655)*E$6</f>
        <v>0</v>
      </c>
      <c r="F822" s="30">
        <f ca="1">(F321+F488+'3. General Model Inputs'!$D$53*F655)*F$6</f>
        <v>471.1875</v>
      </c>
      <c r="G822" s="30">
        <f ca="1">(G321+G488+'3. General Model Inputs'!$D$53*G655)*G$6</f>
        <v>930.0063281250001</v>
      </c>
      <c r="H822" s="30">
        <f ca="1">(H321+H488+'3. General Model Inputs'!$D$53*H655)*H$6</f>
        <v>903.0850923108552</v>
      </c>
    </row>
    <row r="823" spans="2:8">
      <c r="B823" s="152">
        <f t="shared" si="30"/>
        <v>0</v>
      </c>
      <c r="D823" s="30">
        <f ca="1">(D322+D489+'3. General Model Inputs'!$D$53*D656)*D$6</f>
        <v>506.02712500000001</v>
      </c>
      <c r="E823" s="30">
        <f ca="1">(E322+E489+'3. General Model Inputs'!$D$53*E656)*E$6</f>
        <v>1018.2214555859375</v>
      </c>
      <c r="F823" s="30">
        <f ca="1">(F322+F489+'3. General Model Inputs'!$D$53*F656)*F$6</f>
        <v>1030.4658908113381</v>
      </c>
      <c r="G823" s="30">
        <f ca="1">(G322+G489+'3. General Model Inputs'!$D$53*G656)*G$6</f>
        <v>1042.6861593882675</v>
      </c>
      <c r="H823" s="30">
        <f ca="1">(H322+H489+'3. General Model Inputs'!$D$53*H656)*H$6</f>
        <v>1054.8734002122862</v>
      </c>
    </row>
    <row r="824" spans="2:8">
      <c r="B824" s="152">
        <f t="shared" si="30"/>
        <v>0</v>
      </c>
      <c r="D824" s="30">
        <f ca="1">(D323+D490+'3. General Model Inputs'!$D$53*D657)*D$6</f>
        <v>1286.448625</v>
      </c>
      <c r="E824" s="30">
        <f ca="1">(E323+E490+'3. General Model Inputs'!$D$53*E657)*E$6</f>
        <v>2539.1279735937501</v>
      </c>
      <c r="F824" s="30">
        <f ca="1">(F323+F490+'3. General Model Inputs'!$D$53*F657)*F$6</f>
        <v>2465.6269006739312</v>
      </c>
      <c r="G824" s="30">
        <f ca="1">(G323+G490+'3. General Model Inputs'!$D$53*G657)*G$6</f>
        <v>2386.863819124625</v>
      </c>
      <c r="H824" s="30">
        <f ca="1">(H323+H490+'3. General Model Inputs'!$D$53*H657)*H$6</f>
        <v>2302.6215666849325</v>
      </c>
    </row>
    <row r="825" spans="2:8">
      <c r="B825" s="152">
        <f t="shared" si="30"/>
        <v>0</v>
      </c>
      <c r="D825" s="30">
        <f ca="1">(D324+D491+'3. General Model Inputs'!$D$53*D658)*D$6</f>
        <v>10032.324749999994</v>
      </c>
      <c r="E825" s="30">
        <f ca="1">(E324+E491+'3. General Model Inputs'!$D$53*E658)*E$6</f>
        <v>20144.072070937487</v>
      </c>
      <c r="F825" s="30">
        <f ca="1">(F324+F491+'3. General Model Inputs'!$D$53*F658)*F$6</f>
        <v>20297.713298597184</v>
      </c>
      <c r="G825" s="30">
        <f ca="1">(G324+G491+'3. General Model Inputs'!$D$53*G658)*G$6</f>
        <v>20446.446542595524</v>
      </c>
      <c r="H825" s="30">
        <f ca="1">(H324+H491+'3. General Model Inputs'!$D$53*H658)*H$6</f>
        <v>20589.93037798216</v>
      </c>
    </row>
    <row r="826" spans="2:8">
      <c r="B826" s="152">
        <f t="shared" si="30"/>
        <v>0</v>
      </c>
      <c r="D826" s="30">
        <f ca="1">(D325+D492+'3. General Model Inputs'!$D$53*D659)*D$6</f>
        <v>0</v>
      </c>
      <c r="E826" s="30">
        <f ca="1">(E325+E492+'3. General Model Inputs'!$D$53*E659)*E$6</f>
        <v>15082.383249999999</v>
      </c>
      <c r="F826" s="30">
        <f ca="1">(F325+F492+'3. General Model Inputs'!$D$53*F659)*F$6</f>
        <v>30284.168700729166</v>
      </c>
      <c r="G826" s="30">
        <f ca="1">(G325+G492+'3. General Model Inputs'!$D$53*G659)*G$6</f>
        <v>30515.149648446597</v>
      </c>
      <c r="H826" s="30">
        <f ca="1">(H325+H492+'3. General Model Inputs'!$D$53*H659)*H$6</f>
        <v>30738.752038111939</v>
      </c>
    </row>
    <row r="827" spans="2:8">
      <c r="B827" s="152">
        <f t="shared" si="30"/>
        <v>0</v>
      </c>
      <c r="D827" s="30">
        <f ca="1">(D326+D493+'3. General Model Inputs'!$D$53*D660)*D$6</f>
        <v>0</v>
      </c>
      <c r="E827" s="30">
        <f ca="1">(E326+E493+'3. General Model Inputs'!$D$53*E660)*E$6</f>
        <v>0</v>
      </c>
      <c r="F827" s="30">
        <f ca="1">(F326+F493+'3. General Model Inputs'!$D$53*F660)*F$6</f>
        <v>7723.9250000000002</v>
      </c>
      <c r="G827" s="30">
        <f ca="1">(G326+G493+'3. General Model Inputs'!$D$53*G660)*G$6</f>
        <v>15508.997739583334</v>
      </c>
      <c r="H827" s="30">
        <f ca="1">(H326+H493+'3. General Model Inputs'!$D$53*H660)*H$6</f>
        <v>15627.286705393715</v>
      </c>
    </row>
    <row r="828" spans="2:8">
      <c r="B828" s="152">
        <f t="shared" si="30"/>
        <v>0</v>
      </c>
      <c r="D828" s="30">
        <f ca="1">(D327+D494+'3. General Model Inputs'!$D$53*D661)*D$6</f>
        <v>131.32075</v>
      </c>
      <c r="E828" s="30">
        <f ca="1">(E327+E494+'3. General Model Inputs'!$D$53*E661)*E$6</f>
        <v>263.68112260416666</v>
      </c>
      <c r="F828" s="30">
        <f ca="1">(F327+F494+'3. General Model Inputs'!$D$53*F661)*F$6</f>
        <v>265.6922498104696</v>
      </c>
      <c r="G828" s="30">
        <f ca="1">(G327+G494+'3. General Model Inputs'!$D$53*G661)*G$6</f>
        <v>267.63913267546013</v>
      </c>
      <c r="H828" s="30">
        <f ca="1">(H327+H494+'3. General Model Inputs'!$D$53*H661)*H$6</f>
        <v>269.51730202756863</v>
      </c>
    </row>
    <row r="829" spans="2:8">
      <c r="B829" s="152">
        <f t="shared" si="30"/>
        <v>0</v>
      </c>
      <c r="D829" s="30">
        <f ca="1">(D328+D495+'3. General Model Inputs'!$D$53*D662)*D$6</f>
        <v>0</v>
      </c>
      <c r="E829" s="30">
        <f ca="1">(E328+E495+'3. General Model Inputs'!$D$53*E662)*E$6</f>
        <v>2817.7625000000003</v>
      </c>
      <c r="F829" s="30">
        <f ca="1">(F328+F495+'3. General Model Inputs'!$D$53*F662)*F$6</f>
        <v>5657.8322864583342</v>
      </c>
      <c r="G829" s="30">
        <f ca="1">(G328+G495+'3. General Model Inputs'!$D$53*G662)*G$6</f>
        <v>5700.9852445753895</v>
      </c>
      <c r="H829" s="30">
        <f ca="1">(H328+H495+'3. General Model Inputs'!$D$53*H662)*H$6</f>
        <v>5742.7597054192602</v>
      </c>
    </row>
    <row r="830" spans="2:8">
      <c r="B830" s="152">
        <f t="shared" si="30"/>
        <v>0</v>
      </c>
      <c r="D830" s="30">
        <f ca="1">(D329+D496+'3. General Model Inputs'!$D$53*D663)*D$6</f>
        <v>0</v>
      </c>
      <c r="E830" s="30">
        <f ca="1">(E329+E496+'3. General Model Inputs'!$D$53*E663)*E$6</f>
        <v>7090.926375</v>
      </c>
      <c r="F830" s="30">
        <f ca="1">(F329+F496+'3. General Model Inputs'!$D$53*F663)*F$6</f>
        <v>14268.273415195314</v>
      </c>
      <c r="G830" s="30">
        <f ca="1">(G329+G496+'3. General Model Inputs'!$D$53*G663)*G$6</f>
        <v>14439.853918289435</v>
      </c>
      <c r="H830" s="30">
        <f ca="1">(H329+H496+'3. General Model Inputs'!$D$53*H663)*H$6</f>
        <v>14611.095775653763</v>
      </c>
    </row>
    <row r="831" spans="2:8">
      <c r="B831" s="152">
        <f t="shared" si="30"/>
        <v>0</v>
      </c>
      <c r="D831" s="30">
        <f ca="1">(D330+D497+'3. General Model Inputs'!$D$53*D664)*D$6</f>
        <v>0</v>
      </c>
      <c r="E831" s="30">
        <f ca="1">(E330+E497+'3. General Model Inputs'!$D$53*E664)*E$6</f>
        <v>0</v>
      </c>
      <c r="F831" s="30">
        <f ca="1">(F330+F497+'3. General Model Inputs'!$D$53*F664)*F$6</f>
        <v>66447.9375</v>
      </c>
      <c r="G831" s="30">
        <f ca="1">(G330+G497+'3. General Model Inputs'!$D$53*G664)*G$6</f>
        <v>133705.70923828124</v>
      </c>
      <c r="H831" s="30">
        <f ca="1">(H330+H497+'3. General Model Inputs'!$D$53*H664)*H$6</f>
        <v>135313.5627038049</v>
      </c>
    </row>
    <row r="832" spans="2:8">
      <c r="B832" s="152">
        <f t="shared" si="30"/>
        <v>0</v>
      </c>
      <c r="D832" s="30">
        <f ca="1">(D331+D498+'3. General Model Inputs'!$D$53*D665)*D$6</f>
        <v>0</v>
      </c>
      <c r="E832" s="30">
        <f ca="1">(E331+E498+'3. General Model Inputs'!$D$53*E665)*E$6</f>
        <v>0</v>
      </c>
      <c r="F832" s="30">
        <f ca="1">(F331+F498+'3. General Model Inputs'!$D$53*F665)*F$6</f>
        <v>0</v>
      </c>
      <c r="G832" s="30">
        <f ca="1">(G331+G498+'3. General Model Inputs'!$D$53*G665)*G$6</f>
        <v>160071.5625</v>
      </c>
      <c r="H832" s="30">
        <f ca="1">(H331+H498+'3. General Model Inputs'!$D$53*H665)*H$6</f>
        <v>322093.99716796877</v>
      </c>
    </row>
    <row r="833" spans="2:8">
      <c r="B833" s="152">
        <f t="shared" si="30"/>
        <v>0</v>
      </c>
      <c r="D833" s="30">
        <f ca="1">(D332+D499+'3. General Model Inputs'!$D$53*D666)*D$6</f>
        <v>0</v>
      </c>
      <c r="E833" s="30">
        <f ca="1">(E332+E499+'3. General Model Inputs'!$D$53*E666)*E$6</f>
        <v>843.75</v>
      </c>
      <c r="F833" s="30">
        <f ca="1">(F332+F499+'3. General Model Inputs'!$D$53*F666)*F$6</f>
        <v>1622.109375</v>
      </c>
      <c r="G833" s="30">
        <f ca="1">(G332+G499+'3. General Model Inputs'!$D$53*G666)*G$6</f>
        <v>1477.921875</v>
      </c>
      <c r="H833" s="30">
        <f ca="1">(H332+H499+'3. General Model Inputs'!$D$53*H666)*H$6</f>
        <v>1325.5111816406252</v>
      </c>
    </row>
    <row r="834" spans="2:8">
      <c r="B834" s="152">
        <f t="shared" si="30"/>
        <v>0</v>
      </c>
      <c r="D834" s="30">
        <f ca="1">(D333+D500+'3. General Model Inputs'!$D$53*D667)*D$6</f>
        <v>0</v>
      </c>
      <c r="E834" s="30">
        <f ca="1">(E333+E500+'3. General Model Inputs'!$D$53*E667)*E$6</f>
        <v>9479.15625</v>
      </c>
      <c r="F834" s="30">
        <f ca="1">(F333+F500+'3. General Model Inputs'!$D$53*F667)*F$6</f>
        <v>18952.38802734375</v>
      </c>
      <c r="G834" s="30">
        <f ca="1">(G333+G500+'3. General Model Inputs'!$D$53*G667)*G$6</f>
        <v>18928.090093975363</v>
      </c>
      <c r="H834" s="30">
        <f ca="1">(H333+H500+'3. General Model Inputs'!$D$53*H667)*H$6</f>
        <v>18890.732021421467</v>
      </c>
    </row>
    <row r="835" spans="2:8">
      <c r="B835" s="152" t="str">
        <f t="shared" si="30"/>
        <v>Carndo Year 4 Reduction</v>
      </c>
      <c r="D835" s="30">
        <f ca="1">(D334+D501+'3. General Model Inputs'!$D$53*D668)*D$6</f>
        <v>0</v>
      </c>
      <c r="E835" s="30">
        <f ca="1">(E334+E501+'3. General Model Inputs'!$D$53*E668)*E$6</f>
        <v>0</v>
      </c>
      <c r="F835" s="30">
        <f ca="1">(F334+F501+'3. General Model Inputs'!$D$53*F668)*F$6</f>
        <v>0</v>
      </c>
      <c r="G835" s="30">
        <f ca="1">(G334+G501+'3. General Model Inputs'!$D$53*G668)*G$6</f>
        <v>-98989.483682415448</v>
      </c>
      <c r="H835" s="30">
        <f ca="1">(H334+H501+'3. General Model Inputs'!$D$53*H668)*H$6</f>
        <v>-197299.63870023983</v>
      </c>
    </row>
    <row r="836" spans="2:8">
      <c r="B836" s="152" t="str">
        <f t="shared" si="30"/>
        <v>Carndo Year 5 Reduction</v>
      </c>
      <c r="D836" s="30">
        <f ca="1">(D335+D502+'3. General Model Inputs'!$D$53*D669)*D$6</f>
        <v>0</v>
      </c>
      <c r="E836" s="30">
        <f ca="1">(E335+E502+'3. General Model Inputs'!$D$53*E669)*E$6</f>
        <v>0</v>
      </c>
      <c r="F836" s="30">
        <f ca="1">(F335+F502+'3. General Model Inputs'!$D$53*F669)*F$6</f>
        <v>0</v>
      </c>
      <c r="G836" s="30">
        <f ca="1">(G335+G502+'3. General Model Inputs'!$D$53*G669)*G$6</f>
        <v>0</v>
      </c>
      <c r="H836" s="30">
        <f ca="1">(H335+H502+'3. General Model Inputs'!$D$53*H669)*H$6</f>
        <v>-78071.791858172932</v>
      </c>
    </row>
    <row r="837" spans="2:8">
      <c r="B837" s="152">
        <f t="shared" si="30"/>
        <v>0</v>
      </c>
      <c r="D837" s="30">
        <f ca="1">(D336+D503+'3. General Model Inputs'!$D$53*D670)*D$6</f>
        <v>0</v>
      </c>
      <c r="E837" s="30">
        <f ca="1">(E336+E503+'3. General Model Inputs'!$D$53*E670)*E$6</f>
        <v>0</v>
      </c>
      <c r="F837" s="30">
        <f ca="1">(F336+F503+'3. General Model Inputs'!$D$53*F670)*F$6</f>
        <v>0</v>
      </c>
      <c r="G837" s="30">
        <f ca="1">(G336+G503+'3. General Model Inputs'!$D$53*G670)*G$6</f>
        <v>0</v>
      </c>
      <c r="H837" s="30">
        <f ca="1">(H336+H503+'3. General Model Inputs'!$D$53*H670)*H$6</f>
        <v>0</v>
      </c>
    </row>
    <row r="838" spans="2:8">
      <c r="B838" s="152">
        <f t="shared" si="30"/>
        <v>0</v>
      </c>
      <c r="D838" s="30">
        <f ca="1">(D337+D504+'3. General Model Inputs'!$D$53*D671)*D$6</f>
        <v>0</v>
      </c>
      <c r="E838" s="30">
        <f ca="1">(E337+E504+'3. General Model Inputs'!$D$53*E671)*E$6</f>
        <v>0</v>
      </c>
      <c r="F838" s="30">
        <f ca="1">(F337+F504+'3. General Model Inputs'!$D$53*F671)*F$6</f>
        <v>0</v>
      </c>
      <c r="G838" s="30">
        <f ca="1">(G337+G504+'3. General Model Inputs'!$D$53*G671)*G$6</f>
        <v>0</v>
      </c>
      <c r="H838" s="30">
        <f ca="1">(H337+H504+'3. General Model Inputs'!$D$53*H671)*H$6</f>
        <v>0</v>
      </c>
    </row>
    <row r="839" spans="2:8">
      <c r="B839" s="152">
        <f t="shared" si="30"/>
        <v>0</v>
      </c>
      <c r="D839" s="30">
        <f ca="1">(D338+D505+'3. General Model Inputs'!$D$53*D672)*D$6</f>
        <v>0</v>
      </c>
      <c r="E839" s="30">
        <f ca="1">(E338+E505+'3. General Model Inputs'!$D$53*E672)*E$6</f>
        <v>0</v>
      </c>
      <c r="F839" s="30">
        <f ca="1">(F338+F505+'3. General Model Inputs'!$D$53*F672)*F$6</f>
        <v>0</v>
      </c>
      <c r="G839" s="30">
        <f ca="1">(G338+G505+'3. General Model Inputs'!$D$53*G672)*G$6</f>
        <v>0</v>
      </c>
      <c r="H839" s="30">
        <f ca="1">(H338+H505+'3. General Model Inputs'!$D$53*H672)*H$6</f>
        <v>0</v>
      </c>
    </row>
    <row r="840" spans="2:8">
      <c r="B840" s="152">
        <f t="shared" si="30"/>
        <v>0</v>
      </c>
      <c r="D840" s="30">
        <f ca="1">(D339+D506+'3. General Model Inputs'!$D$53*D673)*D$6</f>
        <v>0</v>
      </c>
      <c r="E840" s="30">
        <f ca="1">(E339+E506+'3. General Model Inputs'!$D$53*E673)*E$6</f>
        <v>0</v>
      </c>
      <c r="F840" s="30">
        <f ca="1">(F339+F506+'3. General Model Inputs'!$D$53*F673)*F$6</f>
        <v>0</v>
      </c>
      <c r="G840" s="30">
        <f ca="1">(G339+G506+'3. General Model Inputs'!$D$53*G673)*G$6</f>
        <v>0</v>
      </c>
      <c r="H840" s="30">
        <f ca="1">(H339+H506+'3. General Model Inputs'!$D$53*H673)*H$6</f>
        <v>0</v>
      </c>
    </row>
    <row r="841" spans="2:8">
      <c r="B841" s="152">
        <f t="shared" si="30"/>
        <v>0</v>
      </c>
      <c r="D841" s="30">
        <f ca="1">(D340+D507+'3. General Model Inputs'!$D$53*D674)*D$6</f>
        <v>0</v>
      </c>
      <c r="E841" s="30">
        <f ca="1">(E340+E507+'3. General Model Inputs'!$D$53*E674)*E$6</f>
        <v>0</v>
      </c>
      <c r="F841" s="30">
        <f ca="1">(F340+F507+'3. General Model Inputs'!$D$53*F674)*F$6</f>
        <v>0</v>
      </c>
      <c r="G841" s="30">
        <f ca="1">(G340+G507+'3. General Model Inputs'!$D$53*G674)*G$6</f>
        <v>0</v>
      </c>
      <c r="H841" s="30">
        <f ca="1">(H340+H507+'3. General Model Inputs'!$D$53*H674)*H$6</f>
        <v>0</v>
      </c>
    </row>
    <row r="842" spans="2:8">
      <c r="B842" s="152">
        <f t="shared" si="30"/>
        <v>0</v>
      </c>
      <c r="D842" s="30">
        <f ca="1">(D341+D508+'3. General Model Inputs'!$D$53*D675)*D$6</f>
        <v>0</v>
      </c>
      <c r="E842" s="30">
        <f ca="1">(E341+E508+'3. General Model Inputs'!$D$53*E675)*E$6</f>
        <v>0</v>
      </c>
      <c r="F842" s="30">
        <f ca="1">(F341+F508+'3. General Model Inputs'!$D$53*F675)*F$6</f>
        <v>0</v>
      </c>
      <c r="G842" s="30">
        <f ca="1">(G341+G508+'3. General Model Inputs'!$D$53*G675)*G$6</f>
        <v>0</v>
      </c>
      <c r="H842" s="30">
        <f ca="1">(H341+H508+'3. General Model Inputs'!$D$53*H675)*H$6</f>
        <v>0</v>
      </c>
    </row>
    <row r="843" spans="2:8">
      <c r="B843" s="152">
        <f t="shared" si="30"/>
        <v>0</v>
      </c>
      <c r="D843" s="30">
        <f ca="1">(D342+D509+'3. General Model Inputs'!$D$53*D676)*D$6</f>
        <v>0</v>
      </c>
      <c r="E843" s="30">
        <f ca="1">(E342+E509+'3. General Model Inputs'!$D$53*E676)*E$6</f>
        <v>0</v>
      </c>
      <c r="F843" s="30">
        <f ca="1">(F342+F509+'3. General Model Inputs'!$D$53*F676)*F$6</f>
        <v>0</v>
      </c>
      <c r="G843" s="30">
        <f ca="1">(G342+G509+'3. General Model Inputs'!$D$53*G676)*G$6</f>
        <v>0</v>
      </c>
      <c r="H843" s="30">
        <f ca="1">(H342+H509+'3. General Model Inputs'!$D$53*H676)*H$6</f>
        <v>0</v>
      </c>
    </row>
    <row r="844" spans="2:8">
      <c r="B844" s="152">
        <f t="shared" si="30"/>
        <v>0</v>
      </c>
      <c r="D844" s="30">
        <f ca="1">(D343+D510+'3. General Model Inputs'!$D$53*D677)*D$6</f>
        <v>0</v>
      </c>
      <c r="E844" s="30">
        <f ca="1">(E343+E510+'3. General Model Inputs'!$D$53*E677)*E$6</f>
        <v>0</v>
      </c>
      <c r="F844" s="30">
        <f ca="1">(F343+F510+'3. General Model Inputs'!$D$53*F677)*F$6</f>
        <v>0</v>
      </c>
      <c r="G844" s="30">
        <f ca="1">(G343+G510+'3. General Model Inputs'!$D$53*G677)*G$6</f>
        <v>0</v>
      </c>
      <c r="H844" s="30">
        <f ca="1">(H343+H510+'3. General Model Inputs'!$D$53*H677)*H$6</f>
        <v>0</v>
      </c>
    </row>
    <row r="845" spans="2:8">
      <c r="B845" s="152">
        <f t="shared" si="30"/>
        <v>0</v>
      </c>
      <c r="D845" s="30">
        <f ca="1">(D344+D511+'3. General Model Inputs'!$D$53*D678)*D$6</f>
        <v>0</v>
      </c>
      <c r="E845" s="30">
        <f ca="1">(E344+E511+'3. General Model Inputs'!$D$53*E678)*E$6</f>
        <v>0</v>
      </c>
      <c r="F845" s="30">
        <f ca="1">(F344+F511+'3. General Model Inputs'!$D$53*F678)*F$6</f>
        <v>0</v>
      </c>
      <c r="G845" s="30">
        <f ca="1">(G344+G511+'3. General Model Inputs'!$D$53*G678)*G$6</f>
        <v>0</v>
      </c>
      <c r="H845" s="30">
        <f ca="1">(H344+H511+'3. General Model Inputs'!$D$53*H678)*H$6</f>
        <v>0</v>
      </c>
    </row>
    <row r="846" spans="2:8">
      <c r="B846" s="152">
        <f t="shared" si="30"/>
        <v>0</v>
      </c>
      <c r="D846" s="30">
        <f ca="1">(D345+D512+'3. General Model Inputs'!$D$53*D679)*D$6</f>
        <v>0</v>
      </c>
      <c r="E846" s="30">
        <f ca="1">(E345+E512+'3. General Model Inputs'!$D$53*E679)*E$6</f>
        <v>0</v>
      </c>
      <c r="F846" s="30">
        <f ca="1">(F345+F512+'3. General Model Inputs'!$D$53*F679)*F$6</f>
        <v>0</v>
      </c>
      <c r="G846" s="30">
        <f ca="1">(G345+G512+'3. General Model Inputs'!$D$53*G679)*G$6</f>
        <v>0</v>
      </c>
      <c r="H846" s="30">
        <f ca="1">(H345+H512+'3. General Model Inputs'!$D$53*H679)*H$6</f>
        <v>0</v>
      </c>
    </row>
    <row r="847" spans="2:8">
      <c r="B847" s="152">
        <f t="shared" si="30"/>
        <v>0</v>
      </c>
      <c r="D847" s="30">
        <f ca="1">(D346+D513+'3. General Model Inputs'!$D$53*D680)*D$6</f>
        <v>0</v>
      </c>
      <c r="E847" s="30">
        <f ca="1">(E346+E513+'3. General Model Inputs'!$D$53*E680)*E$6</f>
        <v>0</v>
      </c>
      <c r="F847" s="30">
        <f ca="1">(F346+F513+'3. General Model Inputs'!$D$53*F680)*F$6</f>
        <v>0</v>
      </c>
      <c r="G847" s="30">
        <f ca="1">(G346+G513+'3. General Model Inputs'!$D$53*G680)*G$6</f>
        <v>0</v>
      </c>
      <c r="H847" s="30">
        <f ca="1">(H346+H513+'3. General Model Inputs'!$D$53*H680)*H$6</f>
        <v>0</v>
      </c>
    </row>
    <row r="848" spans="2:8">
      <c r="B848" s="152">
        <f t="shared" si="30"/>
        <v>0</v>
      </c>
      <c r="D848" s="30">
        <f ca="1">(D347+D514+'3. General Model Inputs'!$D$53*D681)*D$6</f>
        <v>0</v>
      </c>
      <c r="E848" s="30">
        <f ca="1">(E347+E514+'3. General Model Inputs'!$D$53*E681)*E$6</f>
        <v>0</v>
      </c>
      <c r="F848" s="30">
        <f ca="1">(F347+F514+'3. General Model Inputs'!$D$53*F681)*F$6</f>
        <v>0</v>
      </c>
      <c r="G848" s="30">
        <f ca="1">(G347+G514+'3. General Model Inputs'!$D$53*G681)*G$6</f>
        <v>0</v>
      </c>
      <c r="H848" s="30">
        <f ca="1">(H347+H514+'3. General Model Inputs'!$D$53*H681)*H$6</f>
        <v>0</v>
      </c>
    </row>
    <row r="849" spans="2:8">
      <c r="B849" s="152">
        <f t="shared" si="30"/>
        <v>0</v>
      </c>
      <c r="D849" s="30">
        <f ca="1">(D348+D515+'3. General Model Inputs'!$D$53*D682)*D$6</f>
        <v>0</v>
      </c>
      <c r="E849" s="30">
        <f ca="1">(E348+E515+'3. General Model Inputs'!$D$53*E682)*E$6</f>
        <v>0</v>
      </c>
      <c r="F849" s="30">
        <f ca="1">(F348+F515+'3. General Model Inputs'!$D$53*F682)*F$6</f>
        <v>0</v>
      </c>
      <c r="G849" s="30">
        <f ca="1">(G348+G515+'3. General Model Inputs'!$D$53*G682)*G$6</f>
        <v>0</v>
      </c>
      <c r="H849" s="30">
        <f ca="1">(H348+H515+'3. General Model Inputs'!$D$53*H682)*H$6</f>
        <v>0</v>
      </c>
    </row>
    <row r="850" spans="2:8">
      <c r="B850" s="152">
        <f t="shared" si="30"/>
        <v>0</v>
      </c>
      <c r="D850" s="30">
        <f ca="1">(D349+D516+'3. General Model Inputs'!$D$53*D683)*D$6</f>
        <v>0</v>
      </c>
      <c r="E850" s="30">
        <f ca="1">(E349+E516+'3. General Model Inputs'!$D$53*E683)*E$6</f>
        <v>0</v>
      </c>
      <c r="F850" s="30">
        <f ca="1">(F349+F516+'3. General Model Inputs'!$D$53*F683)*F$6</f>
        <v>0</v>
      </c>
      <c r="G850" s="30">
        <f ca="1">(G349+G516+'3. General Model Inputs'!$D$53*G683)*G$6</f>
        <v>0</v>
      </c>
      <c r="H850" s="30">
        <f ca="1">(H349+H516+'3. General Model Inputs'!$D$53*H683)*H$6</f>
        <v>0</v>
      </c>
    </row>
    <row r="851" spans="2:8">
      <c r="B851" s="152">
        <f t="shared" si="30"/>
        <v>0</v>
      </c>
      <c r="D851" s="30">
        <f ca="1">(D350+D517+'3. General Model Inputs'!$D$53*D684)*D$6</f>
        <v>0</v>
      </c>
      <c r="E851" s="30">
        <f ca="1">(E350+E517+'3. General Model Inputs'!$D$53*E684)*E$6</f>
        <v>0</v>
      </c>
      <c r="F851" s="30">
        <f ca="1">(F350+F517+'3. General Model Inputs'!$D$53*F684)*F$6</f>
        <v>0</v>
      </c>
      <c r="G851" s="30">
        <f ca="1">(G350+G517+'3. General Model Inputs'!$D$53*G684)*G$6</f>
        <v>0</v>
      </c>
      <c r="H851" s="30">
        <f ca="1">(H350+H517+'3. General Model Inputs'!$D$53*H684)*H$6</f>
        <v>0</v>
      </c>
    </row>
    <row r="852" spans="2:8">
      <c r="B852" s="152">
        <f t="shared" si="30"/>
        <v>0</v>
      </c>
      <c r="D852" s="30">
        <f ca="1">(D351+D518+'3. General Model Inputs'!$D$53*D685)*D$6</f>
        <v>0</v>
      </c>
      <c r="E852" s="30">
        <f ca="1">(E351+E518+'3. General Model Inputs'!$D$53*E685)*E$6</f>
        <v>0</v>
      </c>
      <c r="F852" s="30">
        <f ca="1">(F351+F518+'3. General Model Inputs'!$D$53*F685)*F$6</f>
        <v>0</v>
      </c>
      <c r="G852" s="30">
        <f ca="1">(G351+G518+'3. General Model Inputs'!$D$53*G685)*G$6</f>
        <v>0</v>
      </c>
      <c r="H852" s="30">
        <f ca="1">(H351+H518+'3. General Model Inputs'!$D$53*H685)*H$6</f>
        <v>0</v>
      </c>
    </row>
    <row r="853" spans="2:8">
      <c r="B853" s="152">
        <f t="shared" si="30"/>
        <v>0</v>
      </c>
      <c r="D853" s="30">
        <f ca="1">(D352+D519+'3. General Model Inputs'!$D$53*D686)*D$6</f>
        <v>0</v>
      </c>
      <c r="E853" s="30">
        <f ca="1">(E352+E519+'3. General Model Inputs'!$D$53*E686)*E$6</f>
        <v>0</v>
      </c>
      <c r="F853" s="30">
        <f ca="1">(F352+F519+'3. General Model Inputs'!$D$53*F686)*F$6</f>
        <v>0</v>
      </c>
      <c r="G853" s="30">
        <f ca="1">(G352+G519+'3. General Model Inputs'!$D$53*G686)*G$6</f>
        <v>0</v>
      </c>
      <c r="H853" s="30">
        <f ca="1">(H352+H519+'3. General Model Inputs'!$D$53*H686)*H$6</f>
        <v>0</v>
      </c>
    </row>
    <row r="854" spans="2:8">
      <c r="B854" s="152" t="s">
        <v>53</v>
      </c>
      <c r="D854" s="48">
        <f ca="1">SUM(D690:D853)</f>
        <v>226364.91443749997</v>
      </c>
      <c r="E854" s="48">
        <f ca="1">SUM(E690:E853)</f>
        <v>927885.62250998674</v>
      </c>
      <c r="F854" s="48">
        <f ca="1">SUM(F690:F853)</f>
        <v>2188291.0007963227</v>
      </c>
      <c r="G854" s="48">
        <f ca="1">SUM(G690:G853)</f>
        <v>4358559.1955651315</v>
      </c>
      <c r="H854" s="48">
        <f ca="1">SUM(H690:H853)</f>
        <v>6571596.0082315588</v>
      </c>
    </row>
    <row r="855" spans="2:8">
      <c r="B855" s="152"/>
      <c r="D855" s="70"/>
      <c r="E855" s="70"/>
      <c r="F855" s="70"/>
      <c r="G855" s="70"/>
      <c r="H855" s="70"/>
    </row>
    <row r="856" spans="2:8" ht="15.75">
      <c r="B856" s="151" t="s">
        <v>13</v>
      </c>
      <c r="D856" s="30"/>
      <c r="E856" s="30"/>
      <c r="F856" s="30"/>
      <c r="G856" s="30"/>
      <c r="H856" s="30"/>
    </row>
    <row r="857" spans="2:8">
      <c r="B857" s="152">
        <f>B690</f>
        <v>0</v>
      </c>
      <c r="D857" s="30">
        <f ca="1">IF(D23&lt;1,-(D189+D356+D523+D690),-(D189+D356+'3. General Model Inputs'!$D$53*D523+D690)/D23)</f>
        <v>-1413.9983052083332</v>
      </c>
      <c r="E857" s="30">
        <f ca="1">IF(E23&lt;1,-(E189+E356+E523+E690),-(E189+E356+'3. General Model Inputs'!$D$53*E523+E690)/E23)</f>
        <v>-2887.3126410165078</v>
      </c>
      <c r="F857" s="30">
        <f ca="1">IF(F23&lt;1,-(F189+F356+F523+F690),-(F189+F356+'3. General Model Inputs'!$D$53*F523+F690)/F23)</f>
        <v>-2959.4954570419204</v>
      </c>
      <c r="G857" s="30">
        <f ca="1">IF(G23&lt;1,-(G189+G356+G523+G690),-(G189+G356+'3. General Model Inputs'!$D$53*G523+G690)/G23)</f>
        <v>-3033.4828434679685</v>
      </c>
      <c r="H857" s="30">
        <f ca="1">IF(H23&lt;1,-(H189+H356+H523+H690),-(H189+H356+'3. General Model Inputs'!$D$53*H523+H690)/H23)</f>
        <v>-3109.3199145546678</v>
      </c>
    </row>
    <row r="858" spans="2:8">
      <c r="B858" s="152">
        <f t="shared" ref="B858:B921" si="31">B691</f>
        <v>0</v>
      </c>
      <c r="D858" s="30">
        <f ca="1">IF(D24&lt;1,-(D190+D357+D524+D691),-(D190+D357+'3. General Model Inputs'!$D$53*D524+D691)/D24)</f>
        <v>0</v>
      </c>
      <c r="E858" s="30">
        <f ca="1">IF(E24&lt;1,-(E190+E357+E524+E691),-(E190+E357+'3. General Model Inputs'!$D$53*E524+E691)/E24)</f>
        <v>-4347.5859739583339</v>
      </c>
      <c r="F858" s="30">
        <f ca="1">IF(F24&lt;1,-(F190+F357+F524+F691),-(F190+F357+'3. General Model Inputs'!$D$53*F524+F691)/F24)</f>
        <v>-8877.5494951293258</v>
      </c>
      <c r="G858" s="30">
        <f ca="1">IF(G24&lt;1,-(G190+G357+G524+G691),-(G190+G357+'3. General Model Inputs'!$D$53*G524+G691)/G24)</f>
        <v>-9099.4882325075596</v>
      </c>
      <c r="H858" s="30">
        <f ca="1">IF(H24&lt;1,-(H190+H357+H524+H691),-(H190+H357+'3. General Model Inputs'!$D$53*H524+H691)/H24)</f>
        <v>-9326.9754383202471</v>
      </c>
    </row>
    <row r="859" spans="2:8">
      <c r="B859" s="152">
        <f t="shared" si="31"/>
        <v>0</v>
      </c>
      <c r="D859" s="30">
        <f ca="1">IF(D25&lt;1,-(D191+D358+D525+D692),-(D191+D358+'3. General Model Inputs'!$D$53*D525+D692)/D25)</f>
        <v>0</v>
      </c>
      <c r="E859" s="30">
        <f ca="1">IF(E25&lt;1,-(E191+E358+E525+E692),-(E191+E358+'3. General Model Inputs'!$D$53*E525+E692)/E25)</f>
        <v>0</v>
      </c>
      <c r="F859" s="30">
        <f ca="1">IF(F25&lt;1,-(F191+F358+F525+F692),-(F191+F358+'3. General Model Inputs'!$D$53*F525+F692)/F25)</f>
        <v>-900.57781249999994</v>
      </c>
      <c r="G859" s="30">
        <f ca="1">IF(G25&lt;1,-(G191+G358+G525+G692),-(G191+G358+'3. General Model Inputs'!$D$53*G525+G692)/G25)</f>
        <v>-1838.934101032839</v>
      </c>
      <c r="H859" s="30">
        <f ca="1">IF(H25&lt;1,-(H191+H358+H525+H692),-(H191+H358+'3. General Model Inputs'!$D$53*H525+H692)/H25)</f>
        <v>-1884.9074535586601</v>
      </c>
    </row>
    <row r="860" spans="2:8">
      <c r="B860" s="152">
        <f t="shared" si="31"/>
        <v>0</v>
      </c>
      <c r="D860" s="30">
        <f ca="1">IF(D26&lt;1,-(D192+D359+D526+D693),-(D192+D359+'3. General Model Inputs'!$D$53*D526+D693)/D26)</f>
        <v>-3359.1142833333338</v>
      </c>
      <c r="E860" s="30">
        <f ca="1">IF(E26&lt;1,-(E192+E359+E526+E693),-(E192+E359+'3. General Model Inputs'!$D$53*E526+E693)/E26)</f>
        <v>-7042.1431582738105</v>
      </c>
      <c r="F860" s="30">
        <f ca="1">IF(F26&lt;1,-(F192+F359+F526+F693),-(F192+F359+'3. General Model Inputs'!$D$53*F526+F693)/F26)</f>
        <v>-7218.1967372306553</v>
      </c>
      <c r="G860" s="30">
        <f ca="1">IF(G26&lt;1,-(G192+G359+G526+G693),-(G192+G359+'3. General Model Inputs'!$D$53*G526+G693)/G26)</f>
        <v>-7398.6516556614224</v>
      </c>
      <c r="H860" s="30">
        <f ca="1">IF(H26&lt;1,-(H192+H359+H526+H693),-(H192+H359+'3. General Model Inputs'!$D$53*H526+H693)/H26)</f>
        <v>-7583.6179470529578</v>
      </c>
    </row>
    <row r="861" spans="2:8">
      <c r="B861" s="152">
        <f t="shared" si="31"/>
        <v>0</v>
      </c>
      <c r="D861" s="30">
        <f ca="1">IF(D27&lt;1,-(D193+D360+D527+D694),-(D193+D360+'3. General Model Inputs'!$D$53*D527+D694)/D27)</f>
        <v>0</v>
      </c>
      <c r="E861" s="30">
        <f ca="1">IF(E27&lt;1,-(E193+E360+E527+E694),-(E193+E360+'3. General Model Inputs'!$D$53*E527+E694)/E27)</f>
        <v>-144.49407916666669</v>
      </c>
      <c r="F861" s="30">
        <f ca="1">IF(F27&lt;1,-(F193+F360+F527+F694),-(F193+F360+'3. General Model Inputs'!$D$53*F527+F694)/F27)</f>
        <v>-302.92151596726188</v>
      </c>
      <c r="G861" s="30">
        <f ca="1">IF(G27&lt;1,-(G193+G360+G527+G694),-(G193+G360+'3. General Model Inputs'!$D$53*G527+G694)/G27)</f>
        <v>-310.49455386644348</v>
      </c>
      <c r="H861" s="30">
        <f ca="1">IF(H27&lt;1,-(H193+H360+H527+H694),-(H193+H360+'3. General Model Inputs'!$D$53*H527+H694)/H27)</f>
        <v>-318.2569177131046</v>
      </c>
    </row>
    <row r="862" spans="2:8">
      <c r="B862" s="152">
        <f t="shared" si="31"/>
        <v>0</v>
      </c>
      <c r="D862" s="30">
        <f ca="1">IF(D28&lt;1,-(D194+D361+D528+D695),-(D194+D361+'3. General Model Inputs'!$D$53*D528+D695)/D28)</f>
        <v>-2333.3800416666668</v>
      </c>
      <c r="E862" s="30">
        <f ca="1">IF(E28&lt;1,-(E194+E361+E528+E695),-(E194+E361+'3. General Model Inputs'!$D$53*E528+E695)/E28)</f>
        <v>-4764.6433986405373</v>
      </c>
      <c r="F862" s="30">
        <f ca="1">IF(F28&lt;1,-(F194+F361+F528+F695),-(F194+F361+'3. General Model Inputs'!$D$53*F528+F695)/F28)</f>
        <v>-4883.7594836065509</v>
      </c>
      <c r="G862" s="30">
        <f ca="1">IF(G28&lt;1,-(G194+G361+G528+G695),-(G194+G361+'3. General Model Inputs'!$D$53*G528+G695)/G28)</f>
        <v>-5005.8534706967148</v>
      </c>
      <c r="H862" s="30">
        <f ca="1">IF(H28&lt;1,-(H194+H361+H528+H695),-(H194+H361+'3. General Model Inputs'!$D$53*H528+H695)/H28)</f>
        <v>-5130.9998074641326</v>
      </c>
    </row>
    <row r="863" spans="2:8">
      <c r="B863" s="152">
        <f t="shared" si="31"/>
        <v>0</v>
      </c>
      <c r="D863" s="30">
        <f ca="1">IF(D29&lt;1,-(D195+D362+D529+D696),-(D195+D362+'3. General Model Inputs'!$D$53*D529+D696)/D29)</f>
        <v>0</v>
      </c>
      <c r="E863" s="30">
        <f ca="1">IF(E29&lt;1,-(E195+E362+E529+E696),-(E195+E362+'3. General Model Inputs'!$D$53*E529+E696)/E29)</f>
        <v>-15683.81108888889</v>
      </c>
      <c r="F863" s="30">
        <f ca="1">IF(F29&lt;1,-(F195+F362+F529+F696),-(F195+F362+'3. General Model Inputs'!$D$53*F529+F696)/F29)</f>
        <v>-32025.54476159134</v>
      </c>
      <c r="G863" s="30">
        <f ca="1">IF(G29&lt;1,-(G195+G362+G529+G696),-(G195+G362+'3. General Model Inputs'!$D$53*G529+G696)/G29)</f>
        <v>-32826.183380631119</v>
      </c>
      <c r="H863" s="30">
        <f ca="1">IF(H29&lt;1,-(H195+H362+H529+H696),-(H195+H362+'3. General Model Inputs'!$D$53*H529+H696)/H29)</f>
        <v>-33646.8379651469</v>
      </c>
    </row>
    <row r="864" spans="2:8">
      <c r="B864" s="152">
        <f t="shared" si="31"/>
        <v>0</v>
      </c>
      <c r="D864" s="30">
        <f ca="1">IF(D30&lt;1,-(D196+D363+D530+D697),-(D196+D363+'3. General Model Inputs'!$D$53*D530+D697)/D30)</f>
        <v>0</v>
      </c>
      <c r="E864" s="30">
        <f ca="1">IF(E30&lt;1,-(E196+E363+E530+E697),-(E196+E363+'3. General Model Inputs'!$D$53*E530+E697)/E30)</f>
        <v>0</v>
      </c>
      <c r="F864" s="30">
        <f ca="1">IF(F30&lt;1,-(F196+F363+F530+F697),-(F196+F363+'3. General Model Inputs'!$D$53*F530+F697)/F30)</f>
        <v>-37156.25</v>
      </c>
      <c r="G864" s="30">
        <f ca="1">IF(G30&lt;1,-(G196+G363+G530+G697),-(G196+G363+'3. General Model Inputs'!$D$53*G530+G697)/G30)</f>
        <v>-75871.173199152545</v>
      </c>
      <c r="H864" s="30">
        <f ca="1">IF(H30&lt;1,-(H196+H363+H530+H697),-(H196+H363+'3. General Model Inputs'!$D$53*H530+H697)/H30)</f>
        <v>-77767.952529131348</v>
      </c>
    </row>
    <row r="865" spans="2:8">
      <c r="B865" s="152">
        <f t="shared" si="31"/>
        <v>0</v>
      </c>
      <c r="D865" s="30">
        <f ca="1">IF(D31&lt;1,-(D197+D364+D531+D698),-(D197+D364+'3. General Model Inputs'!$D$53*D531+D698)/D31)</f>
        <v>-39660.852874999997</v>
      </c>
      <c r="E865" s="30">
        <f ca="1">IF(E31&lt;1,-(E197+E364+E531+E698),-(E197+E364+'3. General Model Inputs'!$D$53*E531+E698)/E31)</f>
        <v>-81680.842688254299</v>
      </c>
      <c r="F865" s="30">
        <f ca="1">IF(F31&lt;1,-(F197+F364+F531+F698),-(F197+F364+'3. General Model Inputs'!$D$53*F531+F698)/F31)</f>
        <v>-83722.863755460683</v>
      </c>
      <c r="G865" s="30">
        <f ca="1">IF(G31&lt;1,-(G197+G364+G531+G698),-(G197+G364+'3. General Model Inputs'!$D$53*G531+G698)/G31)</f>
        <v>-85815.935349347186</v>
      </c>
      <c r="H865" s="30">
        <f ca="1">IF(H31&lt;1,-(H197+H364+H531+H698),-(H197+H364+'3. General Model Inputs'!$D$53*H531+H698)/H31)</f>
        <v>-87961.333733080872</v>
      </c>
    </row>
    <row r="866" spans="2:8">
      <c r="B866" s="152">
        <f t="shared" si="31"/>
        <v>0</v>
      </c>
      <c r="D866" s="30">
        <f ca="1">IF(D32&lt;1,-(D198+D365+D532+D699),-(D198+D365+'3. General Model Inputs'!$D$53*D532+D699)/D32)</f>
        <v>0</v>
      </c>
      <c r="E866" s="30">
        <f ca="1">IF(E32&lt;1,-(E198+E365+E532+E699),-(E198+E365+'3. General Model Inputs'!$D$53*E532+E699)/E32)</f>
        <v>-39071.322074999996</v>
      </c>
      <c r="F866" s="30">
        <f ca="1">IF(F32&lt;1,-(F198+F365+F532+F699),-(F198+F365+'3. General Model Inputs'!$D$53*F532+F699)/F32)</f>
        <v>-80466.714169978441</v>
      </c>
      <c r="G866" s="30">
        <f ca="1">IF(G32&lt;1,-(G198+G365+G532+G699),-(G198+G365+'3. General Model Inputs'!$D$53*G532+G699)/G32)</f>
        <v>-82478.382024227889</v>
      </c>
      <c r="H866" s="30">
        <f ca="1">IF(H32&lt;1,-(H198+H365+H532+H699),-(H198+H365+'3. General Model Inputs'!$D$53*H532+H699)/H32)</f>
        <v>-84540.341574833568</v>
      </c>
    </row>
    <row r="867" spans="2:8">
      <c r="B867" s="152">
        <f t="shared" si="31"/>
        <v>0</v>
      </c>
      <c r="D867" s="30">
        <f ca="1">IF(D33&lt;1,-(D199+D366+D533+D700),-(D199+D366+'3. General Model Inputs'!$D$53*D533+D700)/D33)</f>
        <v>0</v>
      </c>
      <c r="E867" s="30">
        <f ca="1">IF(E33&lt;1,-(E199+E366+E533+E700),-(E199+E366+'3. General Model Inputs'!$D$53*E533+E700)/E33)</f>
        <v>0</v>
      </c>
      <c r="F867" s="30">
        <f ca="1">IF(F33&lt;1,-(F199+F366+F533+F700),-(F199+F366+'3. General Model Inputs'!$D$53*F533+F700)/F33)</f>
        <v>-88770.791249999995</v>
      </c>
      <c r="G867" s="30">
        <f ca="1">IF(G33&lt;1,-(G199+G366+G533+G700),-(G199+G366+'3. General Model Inputs'!$D$53*G533+G700)/G33)</f>
        <v>-182821.91404849137</v>
      </c>
      <c r="H867" s="30">
        <f ca="1">IF(H33&lt;1,-(H199+H366+H533+H700),-(H199+H366+'3. General Model Inputs'!$D$53*H533+H700)/H33)</f>
        <v>-187392.46189970366</v>
      </c>
    </row>
    <row r="868" spans="2:8">
      <c r="B868" s="152">
        <f t="shared" si="31"/>
        <v>0</v>
      </c>
      <c r="D868" s="30">
        <f ca="1">IF(D34&lt;1,-(D200+D367+D534+D701),-(D200+D367+'3. General Model Inputs'!$D$53*D534+D701)/D34)</f>
        <v>0</v>
      </c>
      <c r="E868" s="30">
        <f ca="1">IF(E34&lt;1,-(E200+E367+E534+E701),-(E200+E367+'3. General Model Inputs'!$D$53*E534+E701)/E34)</f>
        <v>0</v>
      </c>
      <c r="F868" s="30">
        <f ca="1">IF(F34&lt;1,-(F200+F367+F534+F701),-(F200+F367+'3. General Model Inputs'!$D$53*F534+F701)/F34)</f>
        <v>0</v>
      </c>
      <c r="G868" s="30">
        <f ca="1">IF(G34&lt;1,-(G200+G367+G534+G701),-(G200+G367+'3. General Model Inputs'!$D$53*G534+G701)/G34)</f>
        <v>-677429.52124999999</v>
      </c>
      <c r="H868" s="30">
        <f ca="1">IF(H34&lt;1,-(H200+H367+H534+H701),-(H200+H367+'3. General Model Inputs'!$D$53*H534+H701)/H34)</f>
        <v>-1395154.4191950432</v>
      </c>
    </row>
    <row r="869" spans="2:8">
      <c r="B869" s="152">
        <f t="shared" si="31"/>
        <v>0</v>
      </c>
      <c r="D869" s="30">
        <f ca="1">IF(D35&lt;1,-(D201+D368+D535+D702),-(D201+D368+'3. General Model Inputs'!$D$53*D535+D702)/D35)</f>
        <v>0</v>
      </c>
      <c r="E869" s="30">
        <f ca="1">IF(E35&lt;1,-(E201+E368+E535+E702),-(E201+E368+'3. General Model Inputs'!$D$53*E535+E702)/E35)</f>
        <v>0</v>
      </c>
      <c r="F869" s="30">
        <f ca="1">IF(F35&lt;1,-(F201+F368+F535+F702),-(F201+F368+'3. General Model Inputs'!$D$53*F535+F702)/F35)</f>
        <v>0</v>
      </c>
      <c r="G869" s="30">
        <f ca="1">IF(G35&lt;1,-(G201+G368+G535+G702),-(G201+G368+'3. General Model Inputs'!$D$53*G535+G702)/G35)</f>
        <v>0</v>
      </c>
      <c r="H869" s="30">
        <f ca="1">IF(H35&lt;1,-(H201+H368+H535+H702),-(H201+H368+'3. General Model Inputs'!$D$53*H535+H702)/H35)</f>
        <v>-238301.68625</v>
      </c>
    </row>
    <row r="870" spans="2:8">
      <c r="B870" s="152">
        <f t="shared" si="31"/>
        <v>0</v>
      </c>
      <c r="D870" s="30">
        <f ca="1">IF(D36&lt;1,-(D202+D369+D536+D703),-(D202+D369+'3. General Model Inputs'!$D$53*D536+D703)/D36)</f>
        <v>0</v>
      </c>
      <c r="E870" s="30">
        <f ca="1">IF(E36&lt;1,-(E202+E369+E536+E703),-(E202+E369+'3. General Model Inputs'!$D$53*E536+E703)/E36)</f>
        <v>-165971.28</v>
      </c>
      <c r="F870" s="30">
        <f ca="1">IF(F36&lt;1,-(F202+F369+F536+F703),-(F202+F369+'3. General Model Inputs'!$D$53*F536+F703)/F36)</f>
        <v>-341814.98958620685</v>
      </c>
      <c r="G870" s="30">
        <f ca="1">IF(G36&lt;1,-(G202+G369+G536+G703),-(G202+G369+'3. General Model Inputs'!$D$53*G536+G703)/G36)</f>
        <v>-350360.36432586203</v>
      </c>
      <c r="H870" s="30">
        <f ca="1">IF(H36&lt;1,-(H202+H369+H536+H703),-(H202+H369+'3. General Model Inputs'!$D$53*H536+H703)/H36)</f>
        <v>-359119.37343400862</v>
      </c>
    </row>
    <row r="871" spans="2:8">
      <c r="B871" s="152">
        <f t="shared" si="31"/>
        <v>0</v>
      </c>
      <c r="D871" s="30">
        <f ca="1">IF(D37&lt;1,-(D203+D370+D537+D704),-(D203+D370+'3. General Model Inputs'!$D$53*D537+D704)/D37)</f>
        <v>0</v>
      </c>
      <c r="E871" s="30">
        <f ca="1">IF(E37&lt;1,-(E203+E370+E537+E704),-(E203+E370+'3. General Model Inputs'!$D$53*E537+E704)/E37)</f>
        <v>0</v>
      </c>
      <c r="F871" s="30">
        <f ca="1">IF(F37&lt;1,-(F203+F370+F537+F704),-(F203+F370+'3. General Model Inputs'!$D$53*F537+F704)/F37)</f>
        <v>-154801.85500000001</v>
      </c>
      <c r="G871" s="30">
        <f ca="1">IF(G37&lt;1,-(G203+G370+G537+G704),-(G203+G370+'3. General Model Inputs'!$D$53*G537+G704)/G37)</f>
        <v>-318811.75137500005</v>
      </c>
      <c r="H871" s="30">
        <f ca="1">IF(H37&lt;1,-(H203+H370+H537+H704),-(H203+H370+'3. General Model Inputs'!$D$53*H537+H704)/H37)</f>
        <v>-326782.04515937495</v>
      </c>
    </row>
    <row r="872" spans="2:8">
      <c r="B872" s="152">
        <f t="shared" si="31"/>
        <v>0</v>
      </c>
      <c r="D872" s="30">
        <f ca="1">IF(D38&lt;1,-(D204+D371+D538+D705),-(D204+D371+'3. General Model Inputs'!$D$53*D538+D705)/D38)</f>
        <v>0</v>
      </c>
      <c r="E872" s="30">
        <f ca="1">IF(E38&lt;1,-(E204+E371+E538+E705),-(E204+E371+'3. General Model Inputs'!$D$53*E538+E705)/E38)</f>
        <v>0</v>
      </c>
      <c r="F872" s="30">
        <f ca="1">IF(F38&lt;1,-(F204+F371+F538+F705),-(F204+F371+'3. General Model Inputs'!$D$53*F538+F705)/F38)</f>
        <v>0</v>
      </c>
      <c r="G872" s="30">
        <f ca="1">IF(G38&lt;1,-(G204+G371+G538+G705),-(G204+G371+'3. General Model Inputs'!$D$53*G538+G705)/G38)</f>
        <v>-159156.73833333334</v>
      </c>
      <c r="H872" s="30">
        <f ca="1">IF(H38&lt;1,-(H204+H371+H538+H705),-(H204+H371+'3. General Model Inputs'!$D$53*H538+H705)/H38)</f>
        <v>-327780.55851580459</v>
      </c>
    </row>
    <row r="873" spans="2:8">
      <c r="B873" s="152">
        <f t="shared" si="31"/>
        <v>0</v>
      </c>
      <c r="D873" s="30">
        <f ca="1">IF(D39&lt;1,-(D205+D372+D539+D706),-(D205+D372+'3. General Model Inputs'!$D$53*D539+D706)/D39)</f>
        <v>0</v>
      </c>
      <c r="E873" s="30">
        <f ca="1">IF(E39&lt;1,-(E205+E372+E539+E706),-(E205+E372+'3. General Model Inputs'!$D$53*E539+E706)/E39)</f>
        <v>0</v>
      </c>
      <c r="F873" s="30">
        <f ca="1">IF(F39&lt;1,-(F205+F372+F539+F706),-(F205+F372+'3. General Model Inputs'!$D$53*F539+F706)/F39)</f>
        <v>0</v>
      </c>
      <c r="G873" s="30">
        <f ca="1">IF(G39&lt;1,-(G205+G372+G539+G706),-(G205+G372+'3. General Model Inputs'!$D$53*G539+G706)/G39)</f>
        <v>0</v>
      </c>
      <c r="H873" s="30">
        <f ca="1">IF(H39&lt;1,-(H205+H372+H539+H706),-(H205+H372+'3. General Model Inputs'!$D$53*H539+H706)/H39)</f>
        <v>-163794.6925</v>
      </c>
    </row>
    <row r="874" spans="2:8">
      <c r="B874" s="152">
        <f t="shared" si="31"/>
        <v>0</v>
      </c>
      <c r="D874" s="30">
        <f ca="1">IF(D40&lt;1,-(D206+D373+D540+D707),-(D206+D373+'3. General Model Inputs'!$D$53*D540+D707)/D40)</f>
        <v>0</v>
      </c>
      <c r="E874" s="30">
        <f ca="1">IF(E40&lt;1,-(E206+E373+E540+E707),-(E206+E373+'3. General Model Inputs'!$D$53*E540+E707)/E40)</f>
        <v>-1755.429273125</v>
      </c>
      <c r="F874" s="30">
        <f ca="1">IF(F40&lt;1,-(F206+F373+F540+F707),-(F206+F373+'3. General Model Inputs'!$D$53*F540+F707)/F40)</f>
        <v>-3576.9649017885686</v>
      </c>
      <c r="G874" s="30">
        <f ca="1">IF(G40&lt;1,-(G206+G373+G540+G707),-(G206+G373+'3. General Model Inputs'!$D$53*G540+G707)/G40)</f>
        <v>-3666.389024333283</v>
      </c>
      <c r="H874" s="30">
        <f ca="1">IF(H40&lt;1,-(H206+H373+H540+H707),-(H206+H373+'3. General Model Inputs'!$D$53*H540+H707)/H40)</f>
        <v>-3758.0487499416149</v>
      </c>
    </row>
    <row r="875" spans="2:8">
      <c r="B875" s="152">
        <f t="shared" si="31"/>
        <v>0</v>
      </c>
      <c r="D875" s="30">
        <f ca="1">IF(D41&lt;1,-(D207+D374+D541+D708),-(D207+D374+'3. General Model Inputs'!$D$53*D541+D708)/D41)</f>
        <v>0</v>
      </c>
      <c r="E875" s="30">
        <f ca="1">IF(E41&lt;1,-(E207+E374+E541+E708),-(E207+E374+'3. General Model Inputs'!$D$53*E541+E708)/E41)</f>
        <v>0</v>
      </c>
      <c r="F875" s="30">
        <f ca="1">IF(F41&lt;1,-(F207+F374+F541+F708),-(F207+F374+'3. General Model Inputs'!$D$53*F541+F708)/F41)</f>
        <v>-52739.017500000002</v>
      </c>
      <c r="G875" s="30">
        <f ca="1">IF(G41&lt;1,-(G207+G374+G541+G708),-(G207+G374+'3. General Model Inputs'!$D$53*G541+G708)/G41)</f>
        <v>-107464.0929375</v>
      </c>
      <c r="H875" s="30">
        <f ca="1">IF(H41&lt;1,-(H207+H374+H541+H708),-(H207+H374+'3. General Model Inputs'!$D$53*H541+H708)/H41)</f>
        <v>-110150.69526093749</v>
      </c>
    </row>
    <row r="876" spans="2:8">
      <c r="B876" s="152">
        <f t="shared" si="31"/>
        <v>0</v>
      </c>
      <c r="D876" s="30">
        <f ca="1">IF(D42&lt;1,-(D208+D375+D542+D709),-(D208+D375+'3. General Model Inputs'!$D$53*D542+D709)/D42)</f>
        <v>0</v>
      </c>
      <c r="E876" s="30">
        <f ca="1">IF(E42&lt;1,-(E208+E375+E542+E709),-(E208+E375+'3. General Model Inputs'!$D$53*E542+E709)/E42)</f>
        <v>0</v>
      </c>
      <c r="F876" s="30">
        <f ca="1">IF(F42&lt;1,-(F208+F375+F542+F709),-(F208+F375+'3. General Model Inputs'!$D$53*F542+F709)/F42)</f>
        <v>0</v>
      </c>
      <c r="G876" s="30">
        <f ca="1">IF(G42&lt;1,-(G208+G375+G542+G709),-(G208+G375+'3. General Model Inputs'!$D$53*G542+G709)/G42)</f>
        <v>-74740.123593750002</v>
      </c>
      <c r="H876" s="30">
        <f ca="1">IF(H42&lt;1,-(H208+H375+H542+H709),-(H208+H375+'3. General Model Inputs'!$D$53*H542+H709)/H42)</f>
        <v>-152294.8277911887</v>
      </c>
    </row>
    <row r="877" spans="2:8">
      <c r="B877" s="152">
        <f t="shared" si="31"/>
        <v>0</v>
      </c>
      <c r="D877" s="30">
        <f ca="1">IF(D43&lt;1,-(D209+D376+D543+D710),-(D209+D376+'3. General Model Inputs'!$D$53*D543+D710)/D43)</f>
        <v>0</v>
      </c>
      <c r="E877" s="30">
        <f ca="1">IF(E43&lt;1,-(E209+E376+E543+E710),-(E209+E376+'3. General Model Inputs'!$D$53*E543+E710)/E43)</f>
        <v>0</v>
      </c>
      <c r="F877" s="30">
        <f ca="1">IF(F43&lt;1,-(F209+F376+F543+F710),-(F209+F376+'3. General Model Inputs'!$D$53*F543+F710)/F43)</f>
        <v>0</v>
      </c>
      <c r="G877" s="30">
        <f ca="1">IF(G43&lt;1,-(G209+G376+G543+G710),-(G209+G376+'3. General Model Inputs'!$D$53*G543+G710)/G43)</f>
        <v>0</v>
      </c>
      <c r="H877" s="30">
        <f ca="1">IF(H43&lt;1,-(H209+H376+H543+H710),-(H209+H376+'3. General Model Inputs'!$D$53*H543+H710)/H43)</f>
        <v>-26491.97703125</v>
      </c>
    </row>
    <row r="878" spans="2:8">
      <c r="B878" s="152">
        <f t="shared" si="31"/>
        <v>0</v>
      </c>
      <c r="D878" s="30">
        <f ca="1">IF(D44&lt;1,-(D210+D377+D544+D711),-(D210+D377+'3. General Model Inputs'!$D$53*D544+D711)/D44)</f>
        <v>0</v>
      </c>
      <c r="E878" s="30">
        <f ca="1">IF(E44&lt;1,-(E210+E377+E544+E711),-(E210+E377+'3. General Model Inputs'!$D$53*E544+E711)/E44)</f>
        <v>-73458.333333333328</v>
      </c>
      <c r="F878" s="30">
        <f ca="1">IF(F44&lt;1,-(F210+F377+F544+F711),-(F210+F377+'3. General Model Inputs'!$D$53*F544+F711)/F44)</f>
        <v>-151286.17097701153</v>
      </c>
      <c r="G878" s="30">
        <f ca="1">IF(G44&lt;1,-(G210+G377+G544+G711),-(G210+G377+'3. General Model Inputs'!$D$53*G544+G711)/G44)</f>
        <v>-155068.32525143682</v>
      </c>
      <c r="H878" s="30">
        <f ca="1">IF(H44&lt;1,-(H210+H377+H544+H711),-(H210+H377+'3. General Model Inputs'!$D$53*H544+H711)/H44)</f>
        <v>-158945.03338272276</v>
      </c>
    </row>
    <row r="879" spans="2:8">
      <c r="B879" s="152">
        <f t="shared" si="31"/>
        <v>0</v>
      </c>
      <c r="D879" s="30">
        <f ca="1">IF(D45&lt;1,-(D211+D378+D545+D712),-(D211+D378+'3. General Model Inputs'!$D$53*D545+D712)/D45)</f>
        <v>0</v>
      </c>
      <c r="E879" s="30">
        <f ca="1">IF(E45&lt;1,-(E211+E378+E545+E712),-(E211+E378+'3. General Model Inputs'!$D$53*E545+E712)/E45)</f>
        <v>0</v>
      </c>
      <c r="F879" s="30">
        <f ca="1">IF(F45&lt;1,-(F211+F378+F545+F712),-(F211+F378+'3. General Model Inputs'!$D$53*F545+F712)/F45)</f>
        <v>-310916.66666666669</v>
      </c>
      <c r="G879" s="30">
        <f ca="1">IF(G45&lt;1,-(G211+G378+G545+G712),-(G211+G378+'3. General Model Inputs'!$D$53*G545+G712)/G45)</f>
        <v>-640327.51436781604</v>
      </c>
      <c r="H879" s="30">
        <f ca="1">IF(H45&lt;1,-(H211+H378+H545+H712),-(H211+H378+'3. General Model Inputs'!$D$53*H545+H712)/H45)</f>
        <v>-656335.70222701144</v>
      </c>
    </row>
    <row r="880" spans="2:8">
      <c r="B880" s="152">
        <f t="shared" si="31"/>
        <v>0</v>
      </c>
      <c r="D880" s="30">
        <f ca="1">IF(D46&lt;1,-(D212+D379+D546+D713),-(D212+D379+'3. General Model Inputs'!$D$53*D546+D713)/D46)</f>
        <v>0</v>
      </c>
      <c r="E880" s="30">
        <f ca="1">IF(E46&lt;1,-(E212+E379+E546+E713),-(E212+E379+'3. General Model Inputs'!$D$53*E546+E713)/E46)</f>
        <v>0</v>
      </c>
      <c r="F880" s="30">
        <f ca="1">IF(F46&lt;1,-(F212+F379+F546+F713),-(F212+F379+'3. General Model Inputs'!$D$53*F546+F713)/F46)</f>
        <v>-9227.1525000000001</v>
      </c>
      <c r="G880" s="30">
        <f ca="1">IF(G46&lt;1,-(G212+G379+G546+G713),-(G212+G379+'3. General Model Inputs'!$D$53*G546+G713)/G46)</f>
        <v>-19003.161484913791</v>
      </c>
      <c r="H880" s="30">
        <f ca="1">IF(H46&lt;1,-(H212+H379+H546+H713),-(H212+H379+'3. General Model Inputs'!$D$53*H546+H713)/H46)</f>
        <v>-19478.240522036638</v>
      </c>
    </row>
    <row r="881" spans="2:8">
      <c r="B881" s="152">
        <f t="shared" si="31"/>
        <v>0</v>
      </c>
      <c r="D881" s="30">
        <f ca="1">IF(D47&lt;1,-(D213+D380+D547+D714),-(D213+D380+'3. General Model Inputs'!$D$53*D547+D714)/D47)</f>
        <v>0</v>
      </c>
      <c r="E881" s="30">
        <f ca="1">IF(E47&lt;1,-(E213+E380+E547+E714),-(E213+E380+'3. General Model Inputs'!$D$53*E547+E714)/E47)</f>
        <v>0</v>
      </c>
      <c r="F881" s="30">
        <f ca="1">IF(F47&lt;1,-(F213+F380+F547+F714),-(F213+F380+'3. General Model Inputs'!$D$53*F547+F714)/F47)</f>
        <v>0</v>
      </c>
      <c r="G881" s="30">
        <f ca="1">IF(G47&lt;1,-(G213+G380+G547+G714),-(G213+G380+'3. General Model Inputs'!$D$53*G547+G714)/G47)</f>
        <v>-133119.46625</v>
      </c>
      <c r="H881" s="30">
        <f ca="1">IF(H47&lt;1,-(H213+H380+H547+H714),-(H213+H380+'3. General Model Inputs'!$D$53*H547+H714)/H47)</f>
        <v>-274157.24557866383</v>
      </c>
    </row>
    <row r="882" spans="2:8">
      <c r="B882" s="152">
        <f t="shared" si="31"/>
        <v>0</v>
      </c>
      <c r="D882" s="30">
        <f ca="1">IF(D48&lt;1,-(D214+D381+D548+D715),-(D214+D381+'3. General Model Inputs'!$D$53*D548+D715)/D48)</f>
        <v>0</v>
      </c>
      <c r="E882" s="30">
        <f ca="1">IF(E48&lt;1,-(E214+E381+E548+E715),-(E214+E381+'3. General Model Inputs'!$D$53*E548+E715)/E48)</f>
        <v>0</v>
      </c>
      <c r="F882" s="30">
        <f ca="1">IF(F48&lt;1,-(F214+F381+F548+F715),-(F214+F381+'3. General Model Inputs'!$D$53*F548+F715)/F48)</f>
        <v>0</v>
      </c>
      <c r="G882" s="30">
        <f ca="1">IF(G48&lt;1,-(G214+G381+G548+G715),-(G214+G381+'3. General Model Inputs'!$D$53*G548+G715)/G48)</f>
        <v>0</v>
      </c>
      <c r="H882" s="30">
        <f ca="1">IF(H48&lt;1,-(H214+H381+H548+H715),-(H214+H381+'3. General Model Inputs'!$D$53*H548+H715)/H48)</f>
        <v>-195263.71291666667</v>
      </c>
    </row>
    <row r="883" spans="2:8">
      <c r="B883" s="152">
        <f t="shared" si="31"/>
        <v>0</v>
      </c>
      <c r="D883" s="30">
        <f ca="1">IF(D49&lt;1,-(D215+D382+D549+D716),-(D215+D382+'3. General Model Inputs'!$D$53*D549+D716)/D49)</f>
        <v>0</v>
      </c>
      <c r="E883" s="30">
        <f ca="1">IF(E49&lt;1,-(E215+E382+E549+E716),-(E215+E382+'3. General Model Inputs'!$D$53*E549+E716)/E49)</f>
        <v>0</v>
      </c>
      <c r="F883" s="30">
        <f ca="1">IF(F49&lt;1,-(F215+F382+F549+F716),-(F215+F382+'3. General Model Inputs'!$D$53*F549+F716)/F49)</f>
        <v>-26744.658750000002</v>
      </c>
      <c r="G883" s="30">
        <f ca="1">IF(G49&lt;1,-(G215+G382+G549+G716),-(G215+G382+'3. General Model Inputs'!$D$53*G549+G716)/G49)</f>
        <v>-55565.547587171051</v>
      </c>
      <c r="H883" s="30">
        <f ca="1">IF(H49&lt;1,-(H215+H382+H549+H716),-(H215+H382+'3. General Model Inputs'!$D$53*H549+H716)/H49)</f>
        <v>-56954.68627685032</v>
      </c>
    </row>
    <row r="884" spans="2:8">
      <c r="B884" s="152">
        <f t="shared" si="31"/>
        <v>0</v>
      </c>
      <c r="D884" s="30">
        <f ca="1">IF(D50&lt;1,-(D216+D383+D550+D717),-(D216+D383+'3. General Model Inputs'!$D$53*D550+D717)/D50)</f>
        <v>0</v>
      </c>
      <c r="E884" s="30">
        <f ca="1">IF(E50&lt;1,-(E216+E383+E550+E717),-(E216+E383+'3. General Model Inputs'!$D$53*E550+E717)/E50)</f>
        <v>0</v>
      </c>
      <c r="F884" s="30">
        <f ca="1">IF(F50&lt;1,-(F216+F383+F550+F717),-(F216+F383+'3. General Model Inputs'!$D$53*F550+F717)/F50)</f>
        <v>0</v>
      </c>
      <c r="G884" s="30">
        <f ca="1">IF(G50&lt;1,-(G216+G383+G550+G717),-(G216+G383+'3. General Model Inputs'!$D$53*G550+G717)/G50)</f>
        <v>-137203.5275</v>
      </c>
      <c r="H884" s="30">
        <f ca="1">IF(H50&lt;1,-(H216+H383+H550+H717),-(H216+H383+'3. General Model Inputs'!$D$53*H550+H717)/H50)</f>
        <v>-285058.38147697365</v>
      </c>
    </row>
    <row r="885" spans="2:8">
      <c r="B885" s="152">
        <f t="shared" si="31"/>
        <v>0</v>
      </c>
      <c r="D885" s="30">
        <f ca="1">IF(D51&lt;1,-(D217+D384+D551+D718),-(D217+D384+'3. General Model Inputs'!$D$53*D551+D718)/D51)</f>
        <v>0</v>
      </c>
      <c r="E885" s="30">
        <f ca="1">IF(E51&lt;1,-(E217+E384+E551+E718),-(E217+E384+'3. General Model Inputs'!$D$53*E551+E718)/E51)</f>
        <v>0</v>
      </c>
      <c r="F885" s="30">
        <f ca="1">IF(F51&lt;1,-(F217+F384+F551+F718),-(F217+F384+'3. General Model Inputs'!$D$53*F551+F718)/F51)</f>
        <v>0</v>
      </c>
      <c r="G885" s="30">
        <f ca="1">IF(G51&lt;1,-(G217+G384+G551+G718),-(G217+G384+'3. General Model Inputs'!$D$53*G551+G718)/G51)</f>
        <v>0</v>
      </c>
      <c r="H885" s="30">
        <f ca="1">IF(H51&lt;1,-(H217+H384+H551+H718),-(H217+H384+'3. General Model Inputs'!$D$53*H551+H718)/H51)</f>
        <v>-276814.67749999999</v>
      </c>
    </row>
    <row r="886" spans="2:8">
      <c r="B886" s="152">
        <f t="shared" si="31"/>
        <v>0</v>
      </c>
      <c r="D886" s="30">
        <f ca="1">IF(D52&lt;1,-(D218+D385+D552+D719),-(D218+D385+'3. General Model Inputs'!$D$53*D552+D719)/D52)</f>
        <v>0</v>
      </c>
      <c r="E886" s="30">
        <f ca="1">IF(E52&lt;1,-(E218+E385+E552+E719),-(E218+E385+'3. General Model Inputs'!$D$53*E552+E719)/E52)</f>
        <v>0</v>
      </c>
      <c r="F886" s="30">
        <f ca="1">IF(F52&lt;1,-(F218+F385+F552+F719),-(F218+F385+'3. General Model Inputs'!$D$53*F552+F719)/F52)</f>
        <v>-35659.535577221497</v>
      </c>
      <c r="G886" s="30">
        <f ca="1">IF(G52&lt;1,-(G218+G385+G552+G719),-(G218+G385+'3. General Model Inputs'!$D$53*G552+G719)/G52)</f>
        <v>-73440.198701708752</v>
      </c>
      <c r="H886" s="30">
        <f ca="1">IF(H52&lt;1,-(H218+H385+H552+H719),-(H218+H385+'3. General Model Inputs'!$D$53*H552+H719)/H52)</f>
        <v>-75276.203669251481</v>
      </c>
    </row>
    <row r="887" spans="2:8">
      <c r="B887" s="152">
        <f t="shared" si="31"/>
        <v>0</v>
      </c>
      <c r="D887" s="30">
        <f ca="1">IF(D53&lt;1,-(D219+D386+D553+D720),-(D219+D386+'3. General Model Inputs'!$D$53*D553+D720)/D53)</f>
        <v>0</v>
      </c>
      <c r="E887" s="30">
        <f ca="1">IF(E53&lt;1,-(E219+E386+E553+E720),-(E219+E386+'3. General Model Inputs'!$D$53*E553+E720)/E53)</f>
        <v>0</v>
      </c>
      <c r="F887" s="30">
        <f ca="1">IF(F53&lt;1,-(F219+F386+F553+F720),-(F219+F386+'3. General Model Inputs'!$D$53*F553+F720)/F53)</f>
        <v>0</v>
      </c>
      <c r="G887" s="30">
        <f ca="1">IF(G53&lt;1,-(G219+G386+G553+G720),-(G219+G386+'3. General Model Inputs'!$D$53*G553+G720)/G53)</f>
        <v>-91469.012790678273</v>
      </c>
      <c r="H887" s="30">
        <f ca="1">IF(H53&lt;1,-(H219+H386+H553+H720),-(H219+H386+'3. General Model Inputs'!$D$53*H553+H720)/H53)</f>
        <v>-188378.85479045723</v>
      </c>
    </row>
    <row r="888" spans="2:8">
      <c r="B888" s="152">
        <f t="shared" si="31"/>
        <v>0</v>
      </c>
      <c r="D888" s="30">
        <f ca="1">IF(D54&lt;1,-(D220+D387+D554+D721),-(D220+D387+'3. General Model Inputs'!$D$53*D554+D721)/D54)</f>
        <v>0</v>
      </c>
      <c r="E888" s="30">
        <f ca="1">IF(E54&lt;1,-(E220+E387+E554+E721),-(E220+E387+'3. General Model Inputs'!$D$53*E554+E721)/E54)</f>
        <v>0</v>
      </c>
      <c r="F888" s="30">
        <f ca="1">IF(F54&lt;1,-(F220+F387+F554+F721),-(F220+F387+'3. General Model Inputs'!$D$53*F554+F721)/F54)</f>
        <v>0</v>
      </c>
      <c r="G888" s="30">
        <f ca="1">IF(G54&lt;1,-(G220+G387+G554+G721),-(G220+G387+'3. General Model Inputs'!$D$53*G554+G721)/G54)</f>
        <v>0</v>
      </c>
      <c r="H888" s="30">
        <f ca="1">IF(H54&lt;1,-(H220+H387+H554+H721),-(H220+H387+'3. General Model Inputs'!$D$53*H554+H721)/H54)</f>
        <v>-165335.56853074941</v>
      </c>
    </row>
    <row r="889" spans="2:8">
      <c r="B889" s="152">
        <f t="shared" si="31"/>
        <v>0</v>
      </c>
      <c r="D889" s="30">
        <f ca="1">IF(D55&lt;1,-(D221+D388+D555+D722),-(D221+D388+'3. General Model Inputs'!$D$53*D555+D722)/D55)</f>
        <v>0</v>
      </c>
      <c r="E889" s="30">
        <f ca="1">IF(E55&lt;1,-(E221+E388+E555+E722),-(E221+E388+'3. General Model Inputs'!$D$53*E555+E722)/E55)</f>
        <v>0</v>
      </c>
      <c r="F889" s="30">
        <f ca="1">IF(F55&lt;1,-(F221+F388+F555+F722),-(F221+F388+'3. General Model Inputs'!$D$53*F555+F722)/F55)</f>
        <v>-6920.3643750000001</v>
      </c>
      <c r="G889" s="30">
        <f ca="1">IF(G55&lt;1,-(G221+G388+G555+G722),-(G221+G388+'3. General Model Inputs'!$D$53*G555+G722)/G55)</f>
        <v>-14101.337408425634</v>
      </c>
      <c r="H889" s="30">
        <f ca="1">IF(H55&lt;1,-(H221+H388+H555+H722),-(H221+H388+'3. General Model Inputs'!$D$53*H555+H722)/H55)</f>
        <v>-14453.870843636278</v>
      </c>
    </row>
    <row r="890" spans="2:8">
      <c r="B890" s="152">
        <f t="shared" si="31"/>
        <v>0</v>
      </c>
      <c r="D890" s="30">
        <f ca="1">IF(D56&lt;1,-(D222+D389+D556+D723),-(D222+D389+'3. General Model Inputs'!$D$53*D556+D723)/D56)</f>
        <v>0</v>
      </c>
      <c r="E890" s="30">
        <f ca="1">IF(E56&lt;1,-(E222+E389+E556+E723),-(E222+E389+'3. General Model Inputs'!$D$53*E556+E723)/E56)</f>
        <v>0</v>
      </c>
      <c r="F890" s="30">
        <f ca="1">IF(F56&lt;1,-(F222+F389+F556+F723),-(F222+F389+'3. General Model Inputs'!$D$53*F556+F723)/F56)</f>
        <v>0</v>
      </c>
      <c r="G890" s="30">
        <f ca="1">IF(G56&lt;1,-(G222+G389+G556+G723),-(G222+G389+'3. General Model Inputs'!$D$53*G556+G723)/G56)</f>
        <v>-49805.358593750003</v>
      </c>
      <c r="H890" s="30">
        <f ca="1">IF(H56&lt;1,-(H222+H389+H556+H723),-(H222+H389+'3. General Model Inputs'!$D$53*H556+H723)/H56)</f>
        <v>-101486.29872947984</v>
      </c>
    </row>
    <row r="891" spans="2:8">
      <c r="B891" s="152">
        <f t="shared" si="31"/>
        <v>0</v>
      </c>
      <c r="D891" s="30">
        <f ca="1">IF(D57&lt;1,-(D223+D390+D557+D724),-(D223+D390+'3. General Model Inputs'!$D$53*D557+D724)/D57)</f>
        <v>0</v>
      </c>
      <c r="E891" s="30">
        <f ca="1">IF(E57&lt;1,-(E223+E390+E557+E724),-(E223+E390+'3. General Model Inputs'!$D$53*E557+E724)/E57)</f>
        <v>0</v>
      </c>
      <c r="F891" s="30">
        <f ca="1">IF(F57&lt;1,-(F223+F390+F557+F724),-(F223+F390+'3. General Model Inputs'!$D$53*F557+F724)/F57)</f>
        <v>0</v>
      </c>
      <c r="G891" s="30">
        <f ca="1">IF(G57&lt;1,-(G223+G390+G557+G724),-(G223+G390+'3. General Model Inputs'!$D$53*G557+G724)/G57)</f>
        <v>0</v>
      </c>
      <c r="H891" s="30">
        <f ca="1">IF(H57&lt;1,-(H223+H390+H557+H724),-(H223+H390+'3. General Model Inputs'!$D$53*H557+H724)/H57)</f>
        <v>-30078.541718749999</v>
      </c>
    </row>
    <row r="892" spans="2:8">
      <c r="B892" s="152">
        <f t="shared" si="31"/>
        <v>0</v>
      </c>
      <c r="D892" s="30">
        <f ca="1">IF(D58&lt;1,-(D224+D391+D558+D725),-(D224+D391+'3. General Model Inputs'!$D$53*D558+D725)/D58)</f>
        <v>0</v>
      </c>
      <c r="E892" s="30">
        <f ca="1">IF(E58&lt;1,-(E224+E391+E558+E725),-(E224+E391+'3. General Model Inputs'!$D$53*E558+E725)/E58)</f>
        <v>0</v>
      </c>
      <c r="F892" s="30">
        <f ca="1">IF(F58&lt;1,-(F224+F391+F558+F725),-(F224+F391+'3. General Model Inputs'!$D$53*F558+F725)/F58)</f>
        <v>-6459.0118750000001</v>
      </c>
      <c r="G892" s="30">
        <f ca="1">IF(G58&lt;1,-(G224+G391+G558+G725),-(G224+G391+'3. General Model Inputs'!$D$53*G558+G725)/G58)</f>
        <v>-13188.973824417375</v>
      </c>
      <c r="H892" s="30">
        <f ca="1">IF(H58&lt;1,-(H224+H391+H558+H725),-(H224+H391+'3. General Model Inputs'!$D$53*H558+H725)/H58)</f>
        <v>-13518.69817002781</v>
      </c>
    </row>
    <row r="893" spans="2:8">
      <c r="B893" s="152">
        <f t="shared" si="31"/>
        <v>0</v>
      </c>
      <c r="D893" s="30">
        <f ca="1">IF(D59&lt;1,-(D225+D392+D559+D726),-(D225+D392+'3. General Model Inputs'!$D$53*D559+D726)/D59)</f>
        <v>0</v>
      </c>
      <c r="E893" s="30">
        <f ca="1">IF(E59&lt;1,-(E225+E392+E559+E726),-(E225+E392+'3. General Model Inputs'!$D$53*E559+E726)/E59)</f>
        <v>0</v>
      </c>
      <c r="F893" s="30">
        <f ca="1">IF(F59&lt;1,-(F225+F392+F559+F726),-(F225+F392+'3. General Model Inputs'!$D$53*F559+F726)/F59)</f>
        <v>0</v>
      </c>
      <c r="G893" s="30">
        <f ca="1">IF(G59&lt;1,-(G225+G392+G559+G726),-(G225+G392+'3. General Model Inputs'!$D$53*G559+G726)/G59)</f>
        <v>-49076.683958333335</v>
      </c>
      <c r="H893" s="30">
        <f ca="1">IF(H59&lt;1,-(H225+H392+H559+H726),-(H225+H392+'3. General Model Inputs'!$D$53*H559+H726)/H59)</f>
        <v>-100212.09321830863</v>
      </c>
    </row>
    <row r="894" spans="2:8">
      <c r="B894" s="152">
        <f t="shared" si="31"/>
        <v>0</v>
      </c>
      <c r="D894" s="30">
        <f ca="1">IF(D60&lt;1,-(D226+D393+D560+D727),-(D226+D393+'3. General Model Inputs'!$D$53*D560+D727)/D60)</f>
        <v>0</v>
      </c>
      <c r="E894" s="30">
        <f ca="1">IF(E60&lt;1,-(E226+E393+E560+E727),-(E226+E393+'3. General Model Inputs'!$D$53*E560+E727)/E60)</f>
        <v>0</v>
      </c>
      <c r="F894" s="30">
        <f ca="1">IF(F60&lt;1,-(F226+F393+F560+F727),-(F226+F393+'3. General Model Inputs'!$D$53*F560+F727)/F60)</f>
        <v>0</v>
      </c>
      <c r="G894" s="30">
        <f ca="1">IF(G60&lt;1,-(G226+G393+G560+G727),-(G226+G393+'3. General Model Inputs'!$D$53*G560+G727)/G60)</f>
        <v>0</v>
      </c>
      <c r="H894" s="30">
        <f ca="1">IF(H60&lt;1,-(H226+H393+H560+H727),-(H226+H393+'3. General Model Inputs'!$D$53*H560+H727)/H60)</f>
        <v>-42015.544375000005</v>
      </c>
    </row>
    <row r="895" spans="2:8">
      <c r="B895" s="152">
        <f t="shared" si="31"/>
        <v>0</v>
      </c>
      <c r="D895" s="30">
        <f ca="1">IF(D61&lt;1,-(D227+D394+D561+D728),-(D227+D394+'3. General Model Inputs'!$D$53*D561+D728)/D61)</f>
        <v>0</v>
      </c>
      <c r="E895" s="30">
        <f ca="1">IF(E61&lt;1,-(E227+E394+E561+E728),-(E227+E394+'3. General Model Inputs'!$D$53*E561+E728)/E61)</f>
        <v>-48537.286249999997</v>
      </c>
      <c r="F895" s="30">
        <f ca="1">IF(F61&lt;1,-(F227+F394+F561+F728),-(F227+F394+'3. General Model Inputs'!$D$53*F561+F728)/F61)</f>
        <v>-103681.03646180556</v>
      </c>
      <c r="G895" s="30">
        <f ca="1">IF(G61&lt;1,-(G227+G394+G561+G728),-(G227+G394+'3. General Model Inputs'!$D$53*G561+G728)/G61)</f>
        <v>-106273.06237335069</v>
      </c>
      <c r="H895" s="30">
        <f ca="1">IF(H61&lt;1,-(H227+H394+H561+H728),-(H227+H394+'3. General Model Inputs'!$D$53*H561+H728)/H61)</f>
        <v>-108929.88893268445</v>
      </c>
    </row>
    <row r="896" spans="2:8">
      <c r="B896" s="152">
        <f t="shared" si="31"/>
        <v>0</v>
      </c>
      <c r="D896" s="30">
        <f ca="1">IF(D62&lt;1,-(D228+D395+D562+D729),-(D228+D395+'3. General Model Inputs'!$D$53*D562+D729)/D62)</f>
        <v>0</v>
      </c>
      <c r="E896" s="30">
        <f ca="1">IF(E62&lt;1,-(E228+E395+E562+E729),-(E228+E395+'3. General Model Inputs'!$D$53*E562+E729)/E62)</f>
        <v>0</v>
      </c>
      <c r="F896" s="30">
        <f ca="1">IF(F62&lt;1,-(F228+F395+F562+F729),-(F228+F395+'3. General Model Inputs'!$D$53*F562+F729)/F62)</f>
        <v>-75668.216249999998</v>
      </c>
      <c r="G896" s="30">
        <f ca="1">IF(G62&lt;1,-(G228+G395+G562+G729),-(G228+G395+'3. General Model Inputs'!$D$53*G562+G729)/G62)</f>
        <v>-161635.71748958333</v>
      </c>
      <c r="H896" s="30">
        <f ca="1">IF(H62&lt;1,-(H228+H395+H562+H729),-(H228+H395+'3. General Model Inputs'!$D$53*H562+H729)/H62)</f>
        <v>-165676.61042682291</v>
      </c>
    </row>
    <row r="897" spans="2:8">
      <c r="B897" s="152">
        <f t="shared" si="31"/>
        <v>0</v>
      </c>
      <c r="D897" s="30">
        <f ca="1">IF(D63&lt;1,-(D229+D396+D563+D730),-(D229+D396+'3. General Model Inputs'!$D$53*D563+D730)/D63)</f>
        <v>0</v>
      </c>
      <c r="E897" s="30">
        <f ca="1">IF(E63&lt;1,-(E229+E396+E563+E730),-(E229+E396+'3. General Model Inputs'!$D$53*E563+E730)/E63)</f>
        <v>0</v>
      </c>
      <c r="F897" s="30">
        <f ca="1">IF(F63&lt;1,-(F229+F396+F563+F730),-(F229+F396+'3. General Model Inputs'!$D$53*F563+F730)/F63)</f>
        <v>0</v>
      </c>
      <c r="G897" s="30">
        <f ca="1">IF(G63&lt;1,-(G229+G396+G563+G730),-(G229+G396+'3. General Model Inputs'!$D$53*G563+G730)/G63)</f>
        <v>-78353.255000000005</v>
      </c>
      <c r="H897" s="30">
        <f ca="1">IF(H63&lt;1,-(H229+H396+H563+H730),-(H229+H396+'3. General Model Inputs'!$D$53*H563+H730)/H63)</f>
        <v>-167371.25859722222</v>
      </c>
    </row>
    <row r="898" spans="2:8">
      <c r="B898" s="152">
        <f t="shared" si="31"/>
        <v>0</v>
      </c>
      <c r="D898" s="30">
        <f ca="1">IF(D64&lt;1,-(D230+D397+D564+D731),-(D230+D397+'3. General Model Inputs'!$D$53*D564+D731)/D64)</f>
        <v>0</v>
      </c>
      <c r="E898" s="30">
        <f ca="1">IF(E64&lt;1,-(E230+E397+E564+E731),-(E230+E397+'3. General Model Inputs'!$D$53*E564+E731)/E64)</f>
        <v>0</v>
      </c>
      <c r="F898" s="30">
        <f ca="1">IF(F64&lt;1,-(F230+F397+F564+F731),-(F230+F397+'3. General Model Inputs'!$D$53*F564+F731)/F64)</f>
        <v>0</v>
      </c>
      <c r="G898" s="30">
        <f ca="1">IF(G64&lt;1,-(G230+G397+G564+G731),-(G230+G397+'3. General Model Inputs'!$D$53*G564+G731)/G64)</f>
        <v>0</v>
      </c>
      <c r="H898" s="30">
        <f ca="1">IF(H64&lt;1,-(H230+H397+H564+H731),-(H230+H397+'3. General Model Inputs'!$D$53*H564+H731)/H64)</f>
        <v>-58579.108749999999</v>
      </c>
    </row>
    <row r="899" spans="2:8">
      <c r="B899" s="152">
        <f t="shared" si="31"/>
        <v>0</v>
      </c>
      <c r="D899" s="30">
        <f ca="1">IF(D65&lt;1,-(D231+D398+D565+D732),-(D231+D398+'3. General Model Inputs'!$D$53*D565+D732)/D65)</f>
        <v>0</v>
      </c>
      <c r="E899" s="30">
        <f ca="1">IF(E65&lt;1,-(E231+E398+E565+E732),-(E231+E398+'3. General Model Inputs'!$D$53*E565+E732)/E65)</f>
        <v>0</v>
      </c>
      <c r="F899" s="30">
        <f ca="1">IF(F65&lt;1,-(F231+F398+F565+F732),-(F231+F398+'3. General Model Inputs'!$D$53*F565+F732)/F65)</f>
        <v>-9042.6183333333338</v>
      </c>
      <c r="G899" s="30">
        <f ca="1">IF(G65&lt;1,-(G231+G398+G565+G732),-(G231+G398+'3. General Model Inputs'!$D$53*G565+G732)/G65)</f>
        <v>-18623.116550287355</v>
      </c>
      <c r="H899" s="30">
        <f ca="1">IF(H65&lt;1,-(H231+H398+H565+H732),-(H231+H398+'3. General Model Inputs'!$D$53*H565+H732)/H65)</f>
        <v>-19088.69446404454</v>
      </c>
    </row>
    <row r="900" spans="2:8">
      <c r="B900" s="152">
        <f t="shared" si="31"/>
        <v>0</v>
      </c>
      <c r="D900" s="30">
        <f ca="1">IF(D66&lt;1,-(D232+D399+D566+D733),-(D232+D399+'3. General Model Inputs'!$D$53*D566+D733)/D66)</f>
        <v>0</v>
      </c>
      <c r="E900" s="30">
        <f ca="1">IF(E66&lt;1,-(E232+E399+E566+E733),-(E232+E399+'3. General Model Inputs'!$D$53*E566+E733)/E66)</f>
        <v>0</v>
      </c>
      <c r="F900" s="30">
        <f ca="1">IF(F66&lt;1,-(F232+F399+F566+F733),-(F232+F399+'3. General Model Inputs'!$D$53*F566+F733)/F66)</f>
        <v>0</v>
      </c>
      <c r="G900" s="30">
        <f ca="1">IF(G66&lt;1,-(G232+G399+G566+G733),-(G232+G399+'3. General Model Inputs'!$D$53*G566+G733)/G66)</f>
        <v>-71150.511666666673</v>
      </c>
      <c r="H900" s="30">
        <f ca="1">IF(H66&lt;1,-(H232+H399+H566+H733),-(H232+H399+'3. General Model Inputs'!$D$53*H566+H733)/H66)</f>
        <v>-146533.25204454022</v>
      </c>
    </row>
    <row r="901" spans="2:8">
      <c r="B901" s="152">
        <f t="shared" si="31"/>
        <v>0</v>
      </c>
      <c r="D901" s="30">
        <f ca="1">IF(D67&lt;1,-(D233+D400+D567+D734),-(D233+D400+'3. General Model Inputs'!$D$53*D567+D734)/D67)</f>
        <v>-53959.210470833335</v>
      </c>
      <c r="E901" s="30">
        <f ca="1">IF(E67&lt;1,-(E233+E400+E567+E734),-(E233+E400+'3. General Model Inputs'!$D$53*E567+E734)/E67)</f>
        <v>-111128.06363346626</v>
      </c>
      <c r="F901" s="30">
        <f ca="1">IF(F67&lt;1,-(F233+F400+F567+F734),-(F233+F400+'3. General Model Inputs'!$D$53*F567+F734)/F67)</f>
        <v>-113906.26522430292</v>
      </c>
      <c r="G901" s="30">
        <f ca="1">IF(G67&lt;1,-(G233+G400+G567+G734),-(G233+G400+'3. General Model Inputs'!$D$53*G567+G734)/G67)</f>
        <v>-116753.9218549105</v>
      </c>
      <c r="H901" s="30">
        <f ca="1">IF(H67&lt;1,-(H233+H400+H567+H734),-(H233+H400+'3. General Model Inputs'!$D$53*H567+H734)/H67)</f>
        <v>-119672.76990128326</v>
      </c>
    </row>
    <row r="902" spans="2:8">
      <c r="B902" s="152">
        <f t="shared" si="31"/>
        <v>0</v>
      </c>
      <c r="D902" s="30">
        <f ca="1">IF(D68&lt;1,-(D234+D401+D568+D735),-(D234+D401+'3. General Model Inputs'!$D$53*D568+D735)/D68)</f>
        <v>0</v>
      </c>
      <c r="E902" s="30">
        <f ca="1">IF(E68&lt;1,-(E234+E401+E568+E735),-(E234+E401+'3. General Model Inputs'!$D$53*E568+E735)/E68)</f>
        <v>-16421.485195833331</v>
      </c>
      <c r="F902" s="30">
        <f ca="1">IF(F68&lt;1,-(F234+F401+F568+F735),-(F234+F401+'3. General Model Inputs'!$D$53*F568+F735)/F68)</f>
        <v>-33819.765631763643</v>
      </c>
      <c r="G902" s="30">
        <f ca="1">IF(G68&lt;1,-(G234+G401+G568+G735),-(G234+G401+'3. General Model Inputs'!$D$53*G568+G735)/G68)</f>
        <v>-34665.259772557743</v>
      </c>
      <c r="H902" s="30">
        <f ca="1">IF(H68&lt;1,-(H234+H401+H568+H735),-(H234+H401+'3. General Model Inputs'!$D$53*H568+H735)/H68)</f>
        <v>-35531.89126687168</v>
      </c>
    </row>
    <row r="903" spans="2:8">
      <c r="B903" s="152">
        <f t="shared" si="31"/>
        <v>0</v>
      </c>
      <c r="D903" s="30">
        <f ca="1">IF(D69&lt;1,-(D235+D402+D569+D736),-(D235+D402+'3. General Model Inputs'!$D$53*D569+D736)/D69)</f>
        <v>-27938.974912499994</v>
      </c>
      <c r="E903" s="30">
        <f ca="1">IF(E69&lt;1,-(E235+E402+E569+E736),-(E235+E402+'3. General Model Inputs'!$D$53*E569+E736)/E69)</f>
        <v>-57539.837125829734</v>
      </c>
      <c r="F903" s="30">
        <f ca="1">IF(F69&lt;1,-(F235+F402+F569+F736),-(F235+F402+'3. General Model Inputs'!$D$53*F569+F736)/F69)</f>
        <v>-58978.333053975482</v>
      </c>
      <c r="G903" s="30">
        <f ca="1">IF(G69&lt;1,-(G235+G402+G569+G736),-(G235+G402+'3. General Model Inputs'!$D$53*G569+G736)/G69)</f>
        <v>-60452.791380324874</v>
      </c>
      <c r="H903" s="30">
        <f ca="1">IF(H69&lt;1,-(H235+H402+H569+H736),-(H235+H402+'3. General Model Inputs'!$D$53*H569+H736)/H69)</f>
        <v>-61964.111164832997</v>
      </c>
    </row>
    <row r="904" spans="2:8">
      <c r="B904" s="152">
        <f t="shared" si="31"/>
        <v>0</v>
      </c>
      <c r="D904" s="30">
        <f ca="1">IF(D70&lt;1,-(D236+D403+D570+D737),-(D236+D403+'3. General Model Inputs'!$D$53*D570+D737)/D70)</f>
        <v>0</v>
      </c>
      <c r="E904" s="30">
        <f ca="1">IF(E70&lt;1,-(E236+E403+E570+E737),-(E236+E403+'3. General Model Inputs'!$D$53*E570+E737)/E70)</f>
        <v>-35486.565829166662</v>
      </c>
      <c r="F904" s="30">
        <f ca="1">IF(F70&lt;1,-(F236+F403+F570+F737),-(F236+F403+'3. General Model Inputs'!$D$53*F570+F737)/F70)</f>
        <v>-73083.970487826853</v>
      </c>
      <c r="G904" s="30">
        <f ca="1">IF(G70&lt;1,-(G236+G403+G570+G737),-(G236+G403+'3. General Model Inputs'!$D$53*G570+G737)/G70)</f>
        <v>-74911.069750022521</v>
      </c>
      <c r="H904" s="30">
        <f ca="1">IF(H70&lt;1,-(H236+H403+H570+H737),-(H236+H403+'3. General Model Inputs'!$D$53*H570+H737)/H70)</f>
        <v>-76783.84649377309</v>
      </c>
    </row>
    <row r="905" spans="2:8">
      <c r="B905" s="152">
        <f t="shared" si="31"/>
        <v>0</v>
      </c>
      <c r="D905" s="30">
        <f ca="1">IF(D71&lt;1,-(D237+D404+D571+D738),-(D237+D404+'3. General Model Inputs'!$D$53*D571+D738)/D71)</f>
        <v>0</v>
      </c>
      <c r="E905" s="30">
        <f ca="1">IF(E71&lt;1,-(E237+E404+E571+E738),-(E237+E404+'3. General Model Inputs'!$D$53*E571+E738)/E71)</f>
        <v>0</v>
      </c>
      <c r="F905" s="30">
        <f ca="1">IF(F71&lt;1,-(F237+F404+F571+F738),-(F237+F404+'3. General Model Inputs'!$D$53*F571+F738)/F71)</f>
        <v>-1723.7083333333333</v>
      </c>
      <c r="G905" s="30">
        <f ca="1">IF(G71&lt;1,-(G237+G404+G571+G738),-(G237+G404+'3. General Model Inputs'!$D$53*G571+G738)/G71)</f>
        <v>-3549.9475933908047</v>
      </c>
      <c r="H905" s="30">
        <f ca="1">IF(H71&lt;1,-(H237+H404+H571+H738),-(H237+H404+'3. General Model Inputs'!$D$53*H571+H738)/H71)</f>
        <v>-3638.6962832255745</v>
      </c>
    </row>
    <row r="906" spans="2:8">
      <c r="B906" s="152">
        <f t="shared" si="31"/>
        <v>0</v>
      </c>
      <c r="D906" s="30">
        <f ca="1">IF(D72&lt;1,-(D238+D405+D572+D739),-(D238+D405+'3. General Model Inputs'!$D$53*D572+D739)/D72)</f>
        <v>-10219.822078125002</v>
      </c>
      <c r="E906" s="30">
        <f ca="1">IF(E72&lt;1,-(E238+E405+E572+E739),-(E238+E405+'3. General Model Inputs'!$D$53*E572+E739)/E72)</f>
        <v>-20824.504544635092</v>
      </c>
      <c r="F906" s="30">
        <f ca="1">IF(F72&lt;1,-(F238+F405+F572+F739),-(F238+F405+'3. General Model Inputs'!$D$53*F572+F739)/F72)</f>
        <v>-21345.117158250971</v>
      </c>
      <c r="G906" s="30">
        <f ca="1">IF(G72&lt;1,-(G238+G405+G572+G739),-(G238+G405+'3. General Model Inputs'!$D$53*G572+G739)/G72)</f>
        <v>-21878.745087207248</v>
      </c>
      <c r="H906" s="30">
        <f ca="1">IF(H72&lt;1,-(H238+H405+H572+H739),-(H238+H405+'3. General Model Inputs'!$D$53*H572+H739)/H72)</f>
        <v>-22425.713714387428</v>
      </c>
    </row>
    <row r="907" spans="2:8">
      <c r="B907" s="152">
        <f t="shared" si="31"/>
        <v>0</v>
      </c>
      <c r="D907" s="30">
        <f ca="1">IF(D73&lt;1,-(D239+D406+D573+D740),-(D239+D406+'3. General Model Inputs'!$D$53*D573+D740)/D73)</f>
        <v>0</v>
      </c>
      <c r="E907" s="30">
        <f ca="1">IF(E73&lt;1,-(E239+E406+E573+E740),-(E239+E406+'3. General Model Inputs'!$D$53*E573+E740)/E73)</f>
        <v>-13792.440295312501</v>
      </c>
      <c r="F907" s="30">
        <f ca="1">IF(F73&lt;1,-(F239+F406+F573+F740),-(F239+F406+'3. General Model Inputs'!$D$53*F573+F740)/F73)</f>
        <v>-28104.279449847214</v>
      </c>
      <c r="G907" s="30">
        <f ca="1">IF(G73&lt;1,-(G239+G406+G573+G740),-(G239+G406+'3. General Model Inputs'!$D$53*G573+G740)/G73)</f>
        <v>-28806.886436093395</v>
      </c>
      <c r="H907" s="30">
        <f ca="1">IF(H73&lt;1,-(H239+H406+H573+H740),-(H239+H406+'3. General Model Inputs'!$D$53*H573+H740)/H73)</f>
        <v>-29527.058596995725</v>
      </c>
    </row>
    <row r="908" spans="2:8">
      <c r="B908" s="152">
        <f t="shared" si="31"/>
        <v>0</v>
      </c>
      <c r="D908" s="30">
        <f ca="1">IF(D74&lt;1,-(D240+D407+D574+D741),-(D240+D407+'3. General Model Inputs'!$D$53*D574+D741)/D74)</f>
        <v>0</v>
      </c>
      <c r="E908" s="30">
        <f ca="1">IF(E74&lt;1,-(E240+E407+E574+E741),-(E240+E407+'3. General Model Inputs'!$D$53*E574+E741)/E74)</f>
        <v>0</v>
      </c>
      <c r="F908" s="30">
        <f ca="1">IF(F74&lt;1,-(F240+F407+F574+F741),-(F240+F407+'3. General Model Inputs'!$D$53*F574+F741)/F74)</f>
        <v>-13840.72875</v>
      </c>
      <c r="G908" s="30">
        <f ca="1">IF(G74&lt;1,-(G240+G407+G574+G741),-(G240+G407+'3. General Model Inputs'!$D$53*G574+G741)/G74)</f>
        <v>-28755.93512664473</v>
      </c>
      <c r="H908" s="30">
        <f ca="1">IF(H74&lt;1,-(H240+H407+H574+H741),-(H240+H407+'3. General Model Inputs'!$D$53*H574+H741)/H74)</f>
        <v>-29474.833504810853</v>
      </c>
    </row>
    <row r="909" spans="2:8">
      <c r="B909" s="152">
        <f t="shared" si="31"/>
        <v>0</v>
      </c>
      <c r="D909" s="30">
        <f ca="1">IF(D75&lt;1,-(D241+D408+D575+D742),-(D241+D408+'3. General Model Inputs'!$D$53*D575+D742)/D75)</f>
        <v>0</v>
      </c>
      <c r="E909" s="30">
        <f ca="1">IF(E75&lt;1,-(E241+E408+E575+E742),-(E241+E408+'3. General Model Inputs'!$D$53*E575+E742)/E75)</f>
        <v>0</v>
      </c>
      <c r="F909" s="30">
        <f ca="1">IF(F75&lt;1,-(F241+F408+F575+F742),-(F241+F408+'3. General Model Inputs'!$D$53*F575+F742)/F75)</f>
        <v>0</v>
      </c>
      <c r="G909" s="30">
        <f ca="1">IF(G75&lt;1,-(G241+G408+G575+G742),-(G241+G408+'3. General Model Inputs'!$D$53*G575+G742)/G75)</f>
        <v>-40555.790625000001</v>
      </c>
      <c r="H909" s="30">
        <f ca="1">IF(H75&lt;1,-(H241+H408+H575+H742),-(H241+H408+'3. General Model Inputs'!$D$53*H575+H742)/H75)</f>
        <v>-84259.99131167763</v>
      </c>
    </row>
    <row r="910" spans="2:8">
      <c r="B910" s="152">
        <f t="shared" si="31"/>
        <v>0</v>
      </c>
      <c r="D910" s="30">
        <f ca="1">IF(D76&lt;1,-(D242+D409+D576+D743),-(D242+D409+'3. General Model Inputs'!$D$53*D576+D743)/D76)</f>
        <v>0</v>
      </c>
      <c r="E910" s="30">
        <f ca="1">IF(E76&lt;1,-(E242+E409+E576+E743),-(E242+E409+'3. General Model Inputs'!$D$53*E576+E743)/E76)</f>
        <v>0</v>
      </c>
      <c r="F910" s="30">
        <f ca="1">IF(F76&lt;1,-(F242+F409+F576+F743),-(F242+F409+'3. General Model Inputs'!$D$53*F576+F743)/F76)</f>
        <v>0</v>
      </c>
      <c r="G910" s="30">
        <f ca="1">IF(G76&lt;1,-(G242+G409+G576+G743),-(G242+G409+'3. General Model Inputs'!$D$53*G576+G743)/G76)</f>
        <v>0</v>
      </c>
      <c r="H910" s="30">
        <f ca="1">IF(H76&lt;1,-(H242+H409+H576+H743),-(H242+H409+'3. General Model Inputs'!$D$53*H576+H743)/H76)</f>
        <v>-29289.554375</v>
      </c>
    </row>
    <row r="911" spans="2:8">
      <c r="B911" s="152">
        <f t="shared" si="31"/>
        <v>0</v>
      </c>
      <c r="D911" s="30">
        <f ca="1">IF(D77&lt;1,-(D243+D410+D577+D744),-(D243+D410+'3. General Model Inputs'!$D$53*D577+D744)/D77)</f>
        <v>-4548.1061687500005</v>
      </c>
      <c r="E911" s="30">
        <f ca="1">IF(E77&lt;1,-(E243+E410+E577+E744),-(E243+E410+'3. General Model Inputs'!$D$53*E577+E744)/E77)</f>
        <v>-9449.289000600329</v>
      </c>
      <c r="F911" s="30">
        <f ca="1">IF(F77&lt;1,-(F243+F410+F577+F744),-(F243+F410+'3. General Model Inputs'!$D$53*F577+F744)/F77)</f>
        <v>-9685.5212256153354</v>
      </c>
      <c r="G911" s="30">
        <f ca="1">IF(G77&lt;1,-(G243+G410+G577+G744),-(G243+G410+'3. General Model Inputs'!$D$53*G577+G744)/G77)</f>
        <v>-9927.659256255718</v>
      </c>
      <c r="H911" s="30">
        <f ca="1">IF(H77&lt;1,-(H243+H410+H577+H744),-(H243+H410+'3. General Model Inputs'!$D$53*H577+H744)/H77)</f>
        <v>-10175.850737662111</v>
      </c>
    </row>
    <row r="912" spans="2:8">
      <c r="B912" s="152">
        <f t="shared" si="31"/>
        <v>0</v>
      </c>
      <c r="D912" s="30">
        <f ca="1">IF(D78&lt;1,-(D244+D411+D578+D745),-(D244+D411+'3. General Model Inputs'!$D$53*D578+D745)/D78)</f>
        <v>0</v>
      </c>
      <c r="E912" s="30">
        <f ca="1">IF(E78&lt;1,-(E244+E411+E578+E745),-(E244+E411+'3. General Model Inputs'!$D$53*E578+E745)/E78)</f>
        <v>-5956.6019749999996</v>
      </c>
      <c r="F912" s="30">
        <f ca="1">IF(F78&lt;1,-(F244+F411+F578+F745),-(F244+F411+'3. General Model Inputs'!$D$53*F578+F745)/F78)</f>
        <v>-12375.624366480264</v>
      </c>
      <c r="G912" s="30">
        <f ca="1">IF(G78&lt;1,-(G244+G411+G578+G745),-(G244+G411+'3. General Model Inputs'!$D$53*G578+G745)/G78)</f>
        <v>-12685.014975642269</v>
      </c>
      <c r="H912" s="30">
        <f ca="1">IF(H78&lt;1,-(H244+H411+H578+H745),-(H244+H411+'3. General Model Inputs'!$D$53*H578+H745)/H78)</f>
        <v>-13002.140350033327</v>
      </c>
    </row>
    <row r="913" spans="2:8">
      <c r="B913" s="152">
        <f t="shared" si="31"/>
        <v>0</v>
      </c>
      <c r="D913" s="30">
        <f ca="1">IF(D79&lt;1,-(D245+D412+D579+D746),-(D245+D412+'3. General Model Inputs'!$D$53*D579+D746)/D79)</f>
        <v>0</v>
      </c>
      <c r="E913" s="30">
        <f ca="1">IF(E79&lt;1,-(E245+E412+E579+E746),-(E245+E412+'3. General Model Inputs'!$D$53*E579+E746)/E79)</f>
        <v>0</v>
      </c>
      <c r="F913" s="30">
        <f ca="1">IF(F79&lt;1,-(F245+F412+F579+F746),-(F245+F412+'3. General Model Inputs'!$D$53*F579+F746)/F79)</f>
        <v>-59178.349375000005</v>
      </c>
      <c r="G913" s="30">
        <f ca="1">IF(G79&lt;1,-(G245+G412+G579+G746),-(G245+G412+'3. General Model Inputs'!$D$53*G579+G746)/G79)</f>
        <v>-122950.80745148026</v>
      </c>
      <c r="H913" s="30">
        <f ca="1">IF(H79&lt;1,-(H245+H412+H579+H746),-(H245+H412+'3. General Model Inputs'!$D$53*H579+H746)/H79)</f>
        <v>-126024.57763776729</v>
      </c>
    </row>
    <row r="914" spans="2:8">
      <c r="B914" s="152">
        <f t="shared" si="31"/>
        <v>0</v>
      </c>
      <c r="D914" s="30">
        <f ca="1">IF(D80&lt;1,-(D246+D413+D580+D747),-(D246+D413+'3. General Model Inputs'!$D$53*D580+D747)/D80)</f>
        <v>0</v>
      </c>
      <c r="E914" s="30">
        <f ca="1">IF(E80&lt;1,-(E246+E413+E580+E747),-(E246+E413+'3. General Model Inputs'!$D$53*E580+E747)/E80)</f>
        <v>0</v>
      </c>
      <c r="F914" s="30">
        <f ca="1">IF(F80&lt;1,-(F246+F413+F580+F747),-(F246+F413+'3. General Model Inputs'!$D$53*F580+F747)/F80)</f>
        <v>0</v>
      </c>
      <c r="G914" s="30">
        <f ca="1">IF(G80&lt;1,-(G246+G413+G580+G747),-(G246+G413+'3. General Model Inputs'!$D$53*G580+G747)/G80)</f>
        <v>-3718.6231249999996</v>
      </c>
      <c r="H914" s="30">
        <f ca="1">IF(H80&lt;1,-(H246+H413+H580+H747),-(H246+H413+'3. General Model Inputs'!$D$53*H580+H747)/H80)</f>
        <v>-7725.9288347039483</v>
      </c>
    </row>
    <row r="915" spans="2:8">
      <c r="B915" s="152">
        <f t="shared" si="31"/>
        <v>0</v>
      </c>
      <c r="D915" s="30">
        <f ca="1">IF(D81&lt;1,-(D247+D414+D581+D748),-(D247+D414+'3. General Model Inputs'!$D$53*D581+D748)/D81)</f>
        <v>0</v>
      </c>
      <c r="E915" s="30">
        <f ca="1">IF(E81&lt;1,-(E247+E414+E581+E748),-(E247+E414+'3. General Model Inputs'!$D$53*E581+E748)/E81)</f>
        <v>0</v>
      </c>
      <c r="F915" s="30">
        <f ca="1">IF(F81&lt;1,-(F247+F414+F581+F748),-(F247+F414+'3. General Model Inputs'!$D$53*F581+F748)/F81)</f>
        <v>0</v>
      </c>
      <c r="G915" s="30">
        <f ca="1">IF(G81&lt;1,-(G247+G414+G581+G748),-(G247+G414+'3. General Model Inputs'!$D$53*G581+G748)/G81)</f>
        <v>-8893.8160937499997</v>
      </c>
      <c r="H915" s="30">
        <f ca="1">IF(H81&lt;1,-(H247+H414+H581+H748),-(H247+H414+'3. General Model Inputs'!$D$53*H581+H748)/H81)</f>
        <v>-18122.557540397549</v>
      </c>
    </row>
    <row r="916" spans="2:8">
      <c r="B916" s="152">
        <f t="shared" si="31"/>
        <v>0</v>
      </c>
      <c r="D916" s="30">
        <f ca="1">IF(D82&lt;1,-(D248+D415+D582+D749),-(D248+D415+'3. General Model Inputs'!$D$53*D582+D749)/D82)</f>
        <v>0</v>
      </c>
      <c r="E916" s="30">
        <f ca="1">IF(E82&lt;1,-(E248+E415+E582+E749),-(E248+E415+'3. General Model Inputs'!$D$53*E582+E749)/E82)</f>
        <v>0</v>
      </c>
      <c r="F916" s="30">
        <f ca="1">IF(F82&lt;1,-(F248+F415+F582+F749),-(F248+F415+'3. General Model Inputs'!$D$53*F582+F749)/F82)</f>
        <v>0</v>
      </c>
      <c r="G916" s="30">
        <f ca="1">IF(G82&lt;1,-(G248+G415+G582+G749),-(G248+G415+'3. General Model Inputs'!$D$53*G582+G749)/G82)</f>
        <v>0</v>
      </c>
      <c r="H916" s="30">
        <f ca="1">IF(H82&lt;1,-(H248+H415+H582+H749),-(H248+H415+'3. General Model Inputs'!$D$53*H582+H749)/H82)</f>
        <v>-9152.9873437500009</v>
      </c>
    </row>
    <row r="917" spans="2:8">
      <c r="B917" s="152">
        <f t="shared" si="31"/>
        <v>0</v>
      </c>
      <c r="D917" s="30">
        <f ca="1">IF(D83&lt;1,-(D249+D416+D583+D750),-(D249+D416+'3. General Model Inputs'!$D$53*D583+D750)/D83)</f>
        <v>-4179.7962500000003</v>
      </c>
      <c r="E917" s="30">
        <f ca="1">IF(E83&lt;1,-(E249+E416+E583+E750),-(E249+E416+'3. General Model Inputs'!$D$53*E583+E750)/E83)</f>
        <v>-8608.2183114224135</v>
      </c>
      <c r="F917" s="30">
        <f ca="1">IF(F83&lt;1,-(F249+F416+F583+F750),-(F249+F416+'3. General Model Inputs'!$D$53*F583+F750)/F83)</f>
        <v>-8823.4237692079751</v>
      </c>
      <c r="G917" s="30">
        <f ca="1">IF(G83&lt;1,-(G249+G416+G583+G750),-(G249+G416+'3. General Model Inputs'!$D$53*G583+G750)/G83)</f>
        <v>-9044.0093634381738</v>
      </c>
      <c r="H917" s="30">
        <f ca="1">IF(H83&lt;1,-(H249+H416+H583+H750),-(H249+H416+'3. General Model Inputs'!$D$53*H583+H750)/H83)</f>
        <v>-9270.1095975241296</v>
      </c>
    </row>
    <row r="918" spans="2:8">
      <c r="B918" s="152">
        <f t="shared" si="31"/>
        <v>0</v>
      </c>
      <c r="D918" s="30">
        <f ca="1">IF(D84&lt;1,-(D250+D417+D584+D751),-(D250+D417+'3. General Model Inputs'!$D$53*D584+D751)/D84)</f>
        <v>0</v>
      </c>
      <c r="E918" s="30">
        <f ca="1">IF(E84&lt;1,-(E250+E417+E584+E751),-(E250+E417+'3. General Model Inputs'!$D$53*E584+E751)/E84)</f>
        <v>-40483.690245833342</v>
      </c>
      <c r="F918" s="30">
        <f ca="1">IF(F84&lt;1,-(F250+F417+F584+F751),-(F250+F417+'3. General Model Inputs'!$D$53*F584+F751)/F84)</f>
        <v>-83375.462066634354</v>
      </c>
      <c r="G918" s="30">
        <f ca="1">IF(G84&lt;1,-(G250+G417+G584+G751),-(G250+G417+'3. General Model Inputs'!$D$53*G584+G751)/G84)</f>
        <v>-85459.848618300195</v>
      </c>
      <c r="H918" s="30">
        <f ca="1">IF(H84&lt;1,-(H250+H417+H584+H751),-(H250+H417+'3. General Model Inputs'!$D$53*H584+H751)/H84)</f>
        <v>-87596.344833757714</v>
      </c>
    </row>
    <row r="919" spans="2:8">
      <c r="B919" s="152">
        <f t="shared" si="31"/>
        <v>0</v>
      </c>
      <c r="D919" s="30">
        <f ca="1">IF(D85&lt;1,-(D251+D418+D585+D752),-(D251+D418+'3. General Model Inputs'!$D$53*D585+D752)/D85)</f>
        <v>0</v>
      </c>
      <c r="E919" s="30">
        <f ca="1">IF(E85&lt;1,-(E251+E418+E585+E752),-(E251+E418+'3. General Model Inputs'!$D$53*E585+E752)/E85)</f>
        <v>0</v>
      </c>
      <c r="F919" s="30">
        <f ca="1">IF(F85&lt;1,-(F251+F418+F585+F752),-(F251+F418+'3. General Model Inputs'!$D$53*F585+F752)/F85)</f>
        <v>-4613.5762500000001</v>
      </c>
      <c r="G919" s="30">
        <f ca="1">IF(G85&lt;1,-(G251+G418+G585+G752),-(G251+G418+'3. General Model Inputs'!$D$53*G585+G752)/G85)</f>
        <v>-9501.5807424568957</v>
      </c>
      <c r="H919" s="30">
        <f ca="1">IF(H85&lt;1,-(H251+H418+H585+H752),-(H251+H418+'3. General Model Inputs'!$D$53*H585+H752)/H85)</f>
        <v>-9739.1202610183191</v>
      </c>
    </row>
    <row r="920" spans="2:8">
      <c r="B920" s="152">
        <f t="shared" si="31"/>
        <v>0</v>
      </c>
      <c r="D920" s="30">
        <f ca="1">IF(D86&lt;1,-(D252+D419+D586+D753),-(D252+D419+'3. General Model Inputs'!$D$53*D586+D753)/D86)</f>
        <v>0</v>
      </c>
      <c r="E920" s="30">
        <f ca="1">IF(E86&lt;1,-(E252+E419+E586+E753),-(E252+E419+'3. General Model Inputs'!$D$53*E586+E753)/E86)</f>
        <v>0</v>
      </c>
      <c r="F920" s="30">
        <f ca="1">IF(F86&lt;1,-(F252+F419+F586+F753),-(F252+F419+'3. General Model Inputs'!$D$53*F586+F753)/F86)</f>
        <v>0</v>
      </c>
      <c r="G920" s="30">
        <f ca="1">IF(G86&lt;1,-(G252+G419+G586+G753),-(G252+G419+'3. General Model Inputs'!$D$53*G586+G753)/G86)</f>
        <v>-24902.682499999999</v>
      </c>
      <c r="H920" s="30">
        <f ca="1">IF(H86&lt;1,-(H252+H419+H586+H753),-(H252+H419+'3. General Model Inputs'!$D$53*H586+H753)/H86)</f>
        <v>-51286.645252155169</v>
      </c>
    </row>
    <row r="921" spans="2:8">
      <c r="B921" s="152">
        <f t="shared" si="31"/>
        <v>0</v>
      </c>
      <c r="D921" s="30">
        <f ca="1">IF(D87&lt;1,-(D253+D420+D587+D754),-(D253+D420+'3. General Model Inputs'!$D$53*D587+D754)/D87)</f>
        <v>0</v>
      </c>
      <c r="E921" s="30">
        <f ca="1">IF(E87&lt;1,-(E253+E420+E587+E754),-(E253+E420+'3. General Model Inputs'!$D$53*E587+E754)/E87)</f>
        <v>0</v>
      </c>
      <c r="F921" s="30">
        <f ca="1">IF(F87&lt;1,-(F253+F420+F587+F754),-(F253+F420+'3. General Model Inputs'!$D$53*F587+F754)/F87)</f>
        <v>0</v>
      </c>
      <c r="G921" s="30">
        <f ca="1">IF(G87&lt;1,-(G253+G420+G587+G754),-(G253+G420+'3. General Model Inputs'!$D$53*G587+G754)/G87)</f>
        <v>0</v>
      </c>
      <c r="H921" s="30">
        <f ca="1">IF(H87&lt;1,-(H253+H420+H587+H754),-(H253+H420+'3. General Model Inputs'!$D$53*H587+H754)/H87)</f>
        <v>-12203.974583333333</v>
      </c>
    </row>
    <row r="922" spans="2:8">
      <c r="B922" s="152">
        <f t="shared" ref="B922:B985" si="32">B755</f>
        <v>0</v>
      </c>
      <c r="D922" s="30">
        <f ca="1">IF(D88&lt;1,-(D254+D421+D588+D755),-(D254+D421+'3. General Model Inputs'!$D$53*D588+D755)/D88)</f>
        <v>-3506.6334791666668</v>
      </c>
      <c r="E922" s="30">
        <f ca="1">IF(E88&lt;1,-(E254+E421+E588+E755),-(E254+E421+'3. General Model Inputs'!$D$53*E588+E755)/E88)</f>
        <v>-7160.3672610610874</v>
      </c>
      <c r="F922" s="30">
        <f ca="1">IF(F88&lt;1,-(F254+F421+F588+F755),-(F254+F421+'3. General Model Inputs'!$D$53*F588+F755)/F88)</f>
        <v>-7339.3764425876152</v>
      </c>
      <c r="G922" s="30">
        <f ca="1">IF(G88&lt;1,-(G254+G421+G588+G755),-(G254+G421+'3. General Model Inputs'!$D$53*G588+G755)/G88)</f>
        <v>-7522.8608536523052</v>
      </c>
      <c r="H922" s="30">
        <f ca="1">IF(H88&lt;1,-(H254+H421+H588+H755),-(H254+H421+'3. General Model Inputs'!$D$53*H588+H755)/H88)</f>
        <v>-7710.9323749936138</v>
      </c>
    </row>
    <row r="923" spans="2:8">
      <c r="B923" s="152">
        <f t="shared" si="32"/>
        <v>0</v>
      </c>
      <c r="D923" s="30">
        <f ca="1">IF(D89&lt;1,-(D255+D422+D589+D756),-(D255+D422+'3. General Model Inputs'!$D$53*D589+D756)/D89)</f>
        <v>0</v>
      </c>
      <c r="E923" s="30">
        <f ca="1">IF(E89&lt;1,-(E255+E422+E589+E756),-(E255+E422+'3. General Model Inputs'!$D$53*E589+E756)/E89)</f>
        <v>-1440.9842916666669</v>
      </c>
      <c r="F923" s="30">
        <f ca="1">IF(F89&lt;1,-(F255+F422+F589+F756),-(F255+F422+'3. General Model Inputs'!$D$53*F589+F756)/F89)</f>
        <v>-2942.4166531956216</v>
      </c>
      <c r="G923" s="30">
        <f ca="1">IF(G89&lt;1,-(G255+G422+G589+G756),-(G255+G422+'3. General Model Inputs'!$D$53*G589+G756)/G89)</f>
        <v>-3015.977069525512</v>
      </c>
      <c r="H923" s="30">
        <f ca="1">IF(H89&lt;1,-(H255+H422+H589+H756),-(H255+H422+'3. General Model Inputs'!$D$53*H589+H756)/H89)</f>
        <v>-3091.3764962636496</v>
      </c>
    </row>
    <row r="924" spans="2:8">
      <c r="B924" s="152">
        <f t="shared" si="32"/>
        <v>0</v>
      </c>
      <c r="D924" s="30">
        <f ca="1">IF(D90&lt;1,-(D256+D423+D590+D757),-(D256+D423+'3. General Model Inputs'!$D$53*D590+D757)/D90)</f>
        <v>0</v>
      </c>
      <c r="E924" s="30">
        <f ca="1">IF(E90&lt;1,-(E256+E423+E590+E757),-(E256+E423+'3. General Model Inputs'!$D$53*E590+E757)/E90)</f>
        <v>0</v>
      </c>
      <c r="F924" s="30">
        <f ca="1">IF(F90&lt;1,-(F256+F423+F590+F757),-(F256+F423+'3. General Model Inputs'!$D$53*F590+F757)/F90)</f>
        <v>-13898.214166666667</v>
      </c>
      <c r="G924" s="30">
        <f ca="1">IF(G90&lt;1,-(G256+G423+G590+G757),-(G256+G423+'3. General Model Inputs'!$D$53*G590+G757)/G90)</f>
        <v>-28379.446639477403</v>
      </c>
      <c r="H924" s="30">
        <f ca="1">IF(H90&lt;1,-(H256+H423+H590+H757),-(H256+H423+'3. General Model Inputs'!$D$53*H590+H757)/H90)</f>
        <v>-29088.932805464334</v>
      </c>
    </row>
    <row r="925" spans="2:8">
      <c r="B925" s="152">
        <f t="shared" si="32"/>
        <v>0</v>
      </c>
      <c r="D925" s="30">
        <f ca="1">IF(D91&lt;1,-(D257+D424+D591+D758),-(D257+D424+'3. General Model Inputs'!$D$53*D591+D758)/D91)</f>
        <v>-16918.803664583331</v>
      </c>
      <c r="E925" s="30">
        <f ca="1">IF(E91&lt;1,-(E257+E424+E591+E758),-(E257+E424+'3. General Model Inputs'!$D$53*E591+E758)/E91)</f>
        <v>-34547.33680492673</v>
      </c>
      <c r="F925" s="30">
        <f ca="1">IF(F91&lt;1,-(F257+F424+F591+F758),-(F257+F424+'3. General Model Inputs'!$D$53*F591+F758)/F91)</f>
        <v>-35411.020225049899</v>
      </c>
      <c r="G925" s="30">
        <f ca="1">IF(G91&lt;1,-(G257+G424+G591+G758),-(G257+G424+'3. General Model Inputs'!$D$53*G591+G758)/G91)</f>
        <v>-36296.295730676145</v>
      </c>
      <c r="H925" s="30">
        <f ca="1">IF(H91&lt;1,-(H257+H424+H591+H758),-(H257+H424+'3. General Model Inputs'!$D$53*H591+H758)/H91)</f>
        <v>-37203.703123943051</v>
      </c>
    </row>
    <row r="926" spans="2:8">
      <c r="B926" s="152">
        <f t="shared" si="32"/>
        <v>0</v>
      </c>
      <c r="D926" s="30">
        <f ca="1">IF(D92&lt;1,-(D258+D425+D592+D759),-(D258+D425+'3. General Model Inputs'!$D$53*D592+D759)/D92)</f>
        <v>0</v>
      </c>
      <c r="E926" s="30">
        <f ca="1">IF(E92&lt;1,-(E258+E425+E592+E759),-(E258+E425+'3. General Model Inputs'!$D$53*E592+E759)/E92)</f>
        <v>-389.73600624999995</v>
      </c>
      <c r="F926" s="30">
        <f ca="1">IF(F92&lt;1,-(F258+F425+F592+F759),-(F258+F425+'3. General Model Inputs'!$D$53*F592+F759)/F92)</f>
        <v>-795.82110767743632</v>
      </c>
      <c r="G926" s="30">
        <f ca="1">IF(G92&lt;1,-(G258+G425+G592+G759),-(G258+G425+'3. General Model Inputs'!$D$53*G592+G759)/G92)</f>
        <v>-815.71663536937217</v>
      </c>
      <c r="H926" s="30">
        <f ca="1">IF(H92&lt;1,-(H258+H425+H592+H759),-(H258+H425+'3. General Model Inputs'!$D$53*H592+H759)/H92)</f>
        <v>-836.10955125360636</v>
      </c>
    </row>
    <row r="927" spans="2:8">
      <c r="B927" s="152">
        <f t="shared" si="32"/>
        <v>0</v>
      </c>
      <c r="D927" s="30">
        <f ca="1">IF(D93&lt;1,-(D259+D426+D593+D760),-(D259+D426+'3. General Model Inputs'!$D$53*D593+D760)/D93)</f>
        <v>-1846.9364171874997</v>
      </c>
      <c r="E927" s="30">
        <f ca="1">IF(E93&lt;1,-(E259+E426+E593+E760),-(E259+E426+'3. General Model Inputs'!$D$53*E593+E760)/E93)</f>
        <v>-3763.4251867944022</v>
      </c>
      <c r="F927" s="30">
        <f ca="1">IF(F93&lt;1,-(F259+F426+F593+F760),-(F259+F426+'3. General Model Inputs'!$D$53*F593+F760)/F93)</f>
        <v>-3857.510816464262</v>
      </c>
      <c r="G927" s="30">
        <f ca="1">IF(G93&lt;1,-(G259+G426+G593+G760),-(G259+G426+'3. General Model Inputs'!$D$53*G593+G760)/G93)</f>
        <v>-3953.9485868758684</v>
      </c>
      <c r="H927" s="30">
        <f ca="1">IF(H93&lt;1,-(H259+H426+H593+H760),-(H259+H426+'3. General Model Inputs'!$D$53*H593+H760)/H93)</f>
        <v>-4052.7973015477651</v>
      </c>
    </row>
    <row r="928" spans="2:8">
      <c r="B928" s="152">
        <f t="shared" si="32"/>
        <v>0</v>
      </c>
      <c r="D928" s="30">
        <f ca="1">IF(D94&lt;1,-(D260+D427+D594+D761),-(D260+D427+'3. General Model Inputs'!$D$53*D594+D761)/D94)</f>
        <v>0</v>
      </c>
      <c r="E928" s="30">
        <f ca="1">IF(E94&lt;1,-(E260+E427+E594+E761),-(E260+E427+'3. General Model Inputs'!$D$53*E594+E761)/E94)</f>
        <v>-1096.4909312499999</v>
      </c>
      <c r="F928" s="30">
        <f ca="1">IF(F94&lt;1,-(F260+F427+F594+F761),-(F260+F427+'3. General Model Inputs'!$D$53*F594+F761)/F94)</f>
        <v>-2234.2737678223889</v>
      </c>
      <c r="G928" s="30">
        <f ca="1">IF(G94&lt;1,-(G260+G427+G594+G761),-(G260+G427+'3. General Model Inputs'!$D$53*G594+G761)/G94)</f>
        <v>-2290.1306120179488</v>
      </c>
      <c r="H928" s="30">
        <f ca="1">IF(H94&lt;1,-(H260+H427+H594+H761),-(H260+H427+'3. General Model Inputs'!$D$53*H594+H761)/H94)</f>
        <v>-2347.3838773183979</v>
      </c>
    </row>
    <row r="929" spans="2:8">
      <c r="B929" s="152">
        <f t="shared" si="32"/>
        <v>0</v>
      </c>
      <c r="D929" s="30">
        <f ca="1">IF(D95&lt;1,-(D261+D428+D595+D762),-(D261+D428+'3. General Model Inputs'!$D$53*D595+D762)/D95)</f>
        <v>0</v>
      </c>
      <c r="E929" s="30">
        <f ca="1">IF(E95&lt;1,-(E261+E428+E595+E762),-(E261+E428+'3. General Model Inputs'!$D$53*E595+E762)/E95)</f>
        <v>0</v>
      </c>
      <c r="F929" s="30">
        <f ca="1">IF(F95&lt;1,-(F261+F428+F595+F762),-(F261+F428+'3. General Model Inputs'!$D$53*F595+F762)/F95)</f>
        <v>-2768.1470312500001</v>
      </c>
      <c r="G929" s="30">
        <f ca="1">IF(G95&lt;1,-(G261+G428+G595+G762),-(G261+G428+'3. General Model Inputs'!$D$53*G595+G762)/G95)</f>
        <v>-5640.5375741198577</v>
      </c>
      <c r="H929" s="30">
        <f ca="1">IF(H95&lt;1,-(H261+H428+H595+H762),-(H261+H428+'3. General Model Inputs'!$D$53*H595+H762)/H95)</f>
        <v>-5781.5510134728538</v>
      </c>
    </row>
    <row r="930" spans="2:8">
      <c r="B930" s="152">
        <f t="shared" si="32"/>
        <v>0</v>
      </c>
      <c r="D930" s="30">
        <f ca="1">IF(D96&lt;1,-(D262+D429+D596+D763),-(D262+D429+'3. General Model Inputs'!$D$53*D596+D763)/D96)</f>
        <v>0</v>
      </c>
      <c r="E930" s="30">
        <f ca="1">IF(E96&lt;1,-(E262+E429+E596+E763),-(E262+E429+'3. General Model Inputs'!$D$53*E596+E763)/E96)</f>
        <v>0</v>
      </c>
      <c r="F930" s="30">
        <f ca="1">IF(F96&lt;1,-(F262+F429+F596+F763),-(F262+F429+'3. General Model Inputs'!$D$53*F596+F763)/F96)</f>
        <v>0</v>
      </c>
      <c r="G930" s="30">
        <f ca="1">IF(G96&lt;1,-(G262+G429+G596+G763),-(G262+G429+'3. General Model Inputs'!$D$53*G596+G763)/G96)</f>
        <v>-2846.0214062499999</v>
      </c>
      <c r="H930" s="30">
        <f ca="1">IF(H96&lt;1,-(H262+H429+H596+H763),-(H262+H429+'3. General Model Inputs'!$D$53*H596+H763)/H96)</f>
        <v>-5799.2189350771359</v>
      </c>
    </row>
    <row r="931" spans="2:8">
      <c r="B931" s="152">
        <f t="shared" si="32"/>
        <v>0</v>
      </c>
      <c r="D931" s="30">
        <f ca="1">IF(D97&lt;1,-(D263+D430+D597+D764),-(D263+D430+'3. General Model Inputs'!$D$53*D597+D764)/D97)</f>
        <v>0</v>
      </c>
      <c r="E931" s="30">
        <f ca="1">IF(E97&lt;1,-(E263+E430+E597+E764),-(E263+E430+'3. General Model Inputs'!$D$53*E597+E764)/E97)</f>
        <v>0</v>
      </c>
      <c r="F931" s="30">
        <f ca="1">IF(F97&lt;1,-(F263+F430+F597+F764),-(F263+F430+'3. General Model Inputs'!$D$53*F597+F764)/F97)</f>
        <v>0</v>
      </c>
      <c r="G931" s="30">
        <f ca="1">IF(G97&lt;1,-(G263+G430+G597+G764),-(G263+G430+'3. General Model Inputs'!$D$53*G597+G764)/G97)</f>
        <v>0</v>
      </c>
      <c r="H931" s="30">
        <f ca="1">IF(H97&lt;1,-(H263+H430+H597+H764),-(H263+H430+'3. General Model Inputs'!$D$53*H597+H764)/H97)</f>
        <v>-2928.9567187500002</v>
      </c>
    </row>
    <row r="932" spans="2:8">
      <c r="B932" s="152">
        <f t="shared" si="32"/>
        <v>0</v>
      </c>
      <c r="D932" s="30">
        <f ca="1">IF(D98&lt;1,-(D264+D431+D598+D765),-(D264+D431+'3. General Model Inputs'!$D$53*D598+D765)/D98)</f>
        <v>0</v>
      </c>
      <c r="E932" s="30">
        <f ca="1">IF(E98&lt;1,-(E264+E431+E598+E765),-(E264+E431+'3. General Model Inputs'!$D$53*E598+E765)/E98)</f>
        <v>0</v>
      </c>
      <c r="F932" s="30">
        <f ca="1">IF(F98&lt;1,-(F264+F431+F598+F765),-(F264+F431+'3. General Model Inputs'!$D$53*F598+F765)/F98)</f>
        <v>0</v>
      </c>
      <c r="G932" s="30">
        <f ca="1">IF(G98&lt;1,-(G264+G431+G598+G765),-(G264+G431+'3. General Model Inputs'!$D$53*G598+G765)/G98)</f>
        <v>-2846.0150000000003</v>
      </c>
      <c r="H932" s="30">
        <f ca="1">IF(H98&lt;1,-(H264+H431+H598+H765),-(H264+H431+'3. General Model Inputs'!$D$53*H598+H765)/H98)</f>
        <v>-5912.9706381578944</v>
      </c>
    </row>
    <row r="933" spans="2:8">
      <c r="B933" s="152">
        <f t="shared" si="32"/>
        <v>0</v>
      </c>
      <c r="D933" s="30">
        <f ca="1">IF(D99&lt;1,-(D265+D432+D599+D766),-(D265+D432+'3. General Model Inputs'!$D$53*D599+D766)/D99)</f>
        <v>0</v>
      </c>
      <c r="E933" s="30">
        <f ca="1">IF(E99&lt;1,-(E265+E432+E599+E766),-(E265+E432+'3. General Model Inputs'!$D$53*E599+E766)/E99)</f>
        <v>0</v>
      </c>
      <c r="F933" s="30">
        <f ca="1">IF(F99&lt;1,-(F265+F432+F599+F766),-(F265+F432+'3. General Model Inputs'!$D$53*F599+F766)/F99)</f>
        <v>0</v>
      </c>
      <c r="G933" s="30">
        <f ca="1">IF(G99&lt;1,-(G265+G432+G599+G766),-(G265+G432+'3. General Model Inputs'!$D$53*G599+G766)/G99)</f>
        <v>0</v>
      </c>
      <c r="H933" s="30">
        <f ca="1">IF(H99&lt;1,-(H265+H432+H599+H766),-(H265+H432+'3. General Model Inputs'!$D$53*H599+H766)/H99)</f>
        <v>-24163.888125000001</v>
      </c>
    </row>
    <row r="934" spans="2:8">
      <c r="B934" s="152">
        <f t="shared" si="32"/>
        <v>0</v>
      </c>
      <c r="D934" s="30">
        <f ca="1">IF(D100&lt;1,-(D266+D433+D600+D767),-(D266+D433+'3. General Model Inputs'!$D$53*D600+D767)/D100)</f>
        <v>0</v>
      </c>
      <c r="E934" s="30">
        <f ca="1">IF(E100&lt;1,-(E266+E433+E600+E767),-(E266+E433+'3. General Model Inputs'!$D$53*E600+E767)/E100)</f>
        <v>0</v>
      </c>
      <c r="F934" s="30">
        <f ca="1">IF(F100&lt;1,-(F266+F433+F600+F767),-(F266+F433+'3. General Model Inputs'!$D$53*F600+F767)/F100)</f>
        <v>-5571.8024339408585</v>
      </c>
      <c r="G934" s="30">
        <f ca="1">IF(G100&lt;1,-(G266+G433+G600+G767),-(G266+G433+'3. General Model Inputs'!$D$53*G600+G767)/G100)</f>
        <v>-11475.031047141993</v>
      </c>
      <c r="H934" s="30">
        <f ca="1">IF(H100&lt;1,-(H266+H433+H600+H767),-(H266+H433+'3. General Model Inputs'!$D$53*H600+H767)/H100)</f>
        <v>-11761.906823320543</v>
      </c>
    </row>
    <row r="935" spans="2:8">
      <c r="B935" s="152">
        <f t="shared" si="32"/>
        <v>0</v>
      </c>
      <c r="D935" s="30">
        <f ca="1">IF(D101&lt;1,-(D267+D434+D601+D768),-(D267+D434+'3. General Model Inputs'!$D$53*D601+D768)/D101)</f>
        <v>0</v>
      </c>
      <c r="E935" s="30">
        <f ca="1">IF(E101&lt;1,-(E267+E434+E601+E768),-(E267+E434+'3. General Model Inputs'!$D$53*E601+E768)/E101)</f>
        <v>0</v>
      </c>
      <c r="F935" s="30">
        <f ca="1">IF(F101&lt;1,-(F267+F434+F601+F768),-(F267+F434+'3. General Model Inputs'!$D$53*F601+F768)/F101)</f>
        <v>0</v>
      </c>
      <c r="G935" s="30">
        <f ca="1">IF(G101&lt;1,-(G267+G434+G601+G768),-(G267+G434+'3. General Model Inputs'!$D$53*G601+G768)/G101)</f>
        <v>-5716.813299417392</v>
      </c>
      <c r="H935" s="30">
        <f ca="1">IF(H101&lt;1,-(H267+H434+H601+H768),-(H267+H434+'3. General Model Inputs'!$D$53*H601+H768)/H101)</f>
        <v>-11773.678424403577</v>
      </c>
    </row>
    <row r="936" spans="2:8">
      <c r="B936" s="152">
        <f t="shared" si="32"/>
        <v>0</v>
      </c>
      <c r="D936" s="30">
        <f ca="1">IF(D102&lt;1,-(D268+D435+D602+D769),-(D268+D435+'3. General Model Inputs'!$D$53*D602+D769)/D102)</f>
        <v>0</v>
      </c>
      <c r="E936" s="30">
        <f ca="1">IF(E102&lt;1,-(E268+E435+E602+E769),-(E268+E435+'3. General Model Inputs'!$D$53*E602+E769)/E102)</f>
        <v>0</v>
      </c>
      <c r="F936" s="30">
        <f ca="1">IF(F102&lt;1,-(F268+F435+F602+F769),-(F268+F435+'3. General Model Inputs'!$D$53*F602+F769)/F102)</f>
        <v>0</v>
      </c>
      <c r="G936" s="30">
        <f ca="1">IF(G102&lt;1,-(G268+G435+G602+G769),-(G268+G435+'3. General Model Inputs'!$D$53*G602+G769)/G102)</f>
        <v>0</v>
      </c>
      <c r="H936" s="30">
        <f ca="1">IF(H102&lt;1,-(H268+H435+H602+H769),-(H268+H435+'3. General Model Inputs'!$D$53*H602+H769)/H102)</f>
        <v>-6228.32998843733</v>
      </c>
    </row>
    <row r="937" spans="2:8">
      <c r="B937" s="152">
        <f t="shared" si="32"/>
        <v>0</v>
      </c>
      <c r="D937" s="30">
        <f ca="1">IF(D103&lt;1,-(D269+D436+D603+D770),-(D269+D436+'3. General Model Inputs'!$D$53*D603+D770)/D103)</f>
        <v>0</v>
      </c>
      <c r="E937" s="30">
        <f ca="1">IF(E103&lt;1,-(E269+E436+E603+E770),-(E269+E436+'3. General Model Inputs'!$D$53*E603+E770)/E103)</f>
        <v>0</v>
      </c>
      <c r="F937" s="30">
        <f ca="1">IF(F103&lt;1,-(F269+F436+F603+F770),-(F269+F436+'3. General Model Inputs'!$D$53*F603+F770)/F103)</f>
        <v>0</v>
      </c>
      <c r="G937" s="30">
        <f ca="1">IF(G103&lt;1,-(G269+G436+G603+G770),-(G269+G436+'3. General Model Inputs'!$D$53*G603+G770)/G103)</f>
        <v>-7352.2224999999999</v>
      </c>
      <c r="H937" s="30">
        <f ca="1">IF(H103&lt;1,-(H269+H436+H603+H770),-(H269+H436+'3. General Model Inputs'!$D$53*H603+H770)/H103)</f>
        <v>-15141.775476293104</v>
      </c>
    </row>
    <row r="938" spans="2:8">
      <c r="B938" s="152">
        <f t="shared" si="32"/>
        <v>0</v>
      </c>
      <c r="D938" s="30">
        <f ca="1">IF(D104&lt;1,-(D270+D437+D604+D771),-(D270+D437+'3. General Model Inputs'!$D$53*D604+D771)/D104)</f>
        <v>0</v>
      </c>
      <c r="E938" s="30">
        <f ca="1">IF(E104&lt;1,-(E270+E437+E604+E771),-(E270+E437+'3. General Model Inputs'!$D$53*E604+E771)/E104)</f>
        <v>0</v>
      </c>
      <c r="F938" s="30">
        <f ca="1">IF(F104&lt;1,-(F270+F437+F604+F771),-(F270+F437+'3. General Model Inputs'!$D$53*F604+F771)/F104)</f>
        <v>0</v>
      </c>
      <c r="G938" s="30">
        <f ca="1">IF(G104&lt;1,-(G270+G437+G604+G771),-(G270+G437+'3. General Model Inputs'!$D$53*G604+G771)/G104)</f>
        <v>0</v>
      </c>
      <c r="H938" s="30">
        <f ca="1">IF(H104&lt;1,-(H270+H437+H604+H771),-(H270+H437+'3. General Model Inputs'!$D$53*H604+H771)/H104)</f>
        <v>-9763.1933333333327</v>
      </c>
    </row>
    <row r="939" spans="2:8">
      <c r="B939" s="152">
        <f t="shared" si="32"/>
        <v>0</v>
      </c>
      <c r="D939" s="30">
        <f ca="1">IF(D105&lt;1,-(D271+D438+D605+D772),-(D271+D438+'3. General Model Inputs'!$D$53*D605+D772)/D105)</f>
        <v>-595.64511718749998</v>
      </c>
      <c r="E939" s="30">
        <f ca="1">IF(E105&lt;1,-(E271+E438+E605+E772),-(E271+E438+'3. General Model Inputs'!$D$53*E605+E772)/E105)</f>
        <v>-1213.721173914656</v>
      </c>
      <c r="F939" s="30">
        <f ca="1">IF(F105&lt;1,-(F271+F438+F605+F772),-(F271+F438+'3. General Model Inputs'!$D$53*F605+F772)/F105)</f>
        <v>-1244.0642032625224</v>
      </c>
      <c r="G939" s="30">
        <f ca="1">IF(G105&lt;1,-(G271+G438+G605+G772),-(G271+G438+'3. General Model Inputs'!$D$53*G605+G772)/G105)</f>
        <v>-1275.1658083440855</v>
      </c>
      <c r="H939" s="30">
        <f ca="1">IF(H105&lt;1,-(H271+H438+H605+H772),-(H271+H438+'3. General Model Inputs'!$D$53*H605+H772)/H105)</f>
        <v>-1307.0449535526877</v>
      </c>
    </row>
    <row r="940" spans="2:8">
      <c r="B940" s="152">
        <f t="shared" si="32"/>
        <v>0</v>
      </c>
      <c r="D940" s="30">
        <f ca="1">IF(D106&lt;1,-(D272+D439+D606+D773),-(D272+D439+'3. General Model Inputs'!$D$53*D606+D773)/D106)</f>
        <v>0</v>
      </c>
      <c r="E940" s="30">
        <f ca="1">IF(E106&lt;1,-(E272+E439+E606+E773),-(E272+E439+'3. General Model Inputs'!$D$53*E606+E773)/E106)</f>
        <v>-4730.4181140624996</v>
      </c>
      <c r="F940" s="30">
        <f ca="1">IF(F106&lt;1,-(F272+F439+F606+F773),-(F272+F439+'3. General Model Inputs'!$D$53*F606+F773)/F106)</f>
        <v>-9638.975391281152</v>
      </c>
      <c r="G940" s="30">
        <f ca="1">IF(G106&lt;1,-(G272+G439+G606+G773),-(G272+G439+'3. General Model Inputs'!$D$53*G606+G773)/G106)</f>
        <v>-9879.9497760631784</v>
      </c>
      <c r="H940" s="30">
        <f ca="1">IF(H106&lt;1,-(H272+H439+H606+H773),-(H272+H439+'3. General Model Inputs'!$D$53*H606+H773)/H106)</f>
        <v>-10126.948520464757</v>
      </c>
    </row>
    <row r="941" spans="2:8">
      <c r="B941" s="152">
        <f t="shared" si="32"/>
        <v>0</v>
      </c>
      <c r="D941" s="30">
        <f ca="1">IF(D107&lt;1,-(D273+D440+D607+D774),-(D273+D440+'3. General Model Inputs'!$D$53*D607+D774)/D107)</f>
        <v>-6879.3461812499991</v>
      </c>
      <c r="E941" s="30">
        <f ca="1">IF(E107&lt;1,-(E273+E440+E607+E774),-(E273+E440+'3. General Model Inputs'!$D$53*E607+E774)/E107)</f>
        <v>-14047.275104849045</v>
      </c>
      <c r="F941" s="30">
        <f ca="1">IF(F107&lt;1,-(F273+F440+F607+F774),-(F273+F440+'3. General Model Inputs'!$D$53*F607+F774)/F107)</f>
        <v>-14398.456982470272</v>
      </c>
      <c r="G941" s="30">
        <f ca="1">IF(G107&lt;1,-(G273+G440+G607+G774),-(G273+G440+'3. General Model Inputs'!$D$53*G607+G774)/G107)</f>
        <v>-14758.41840703203</v>
      </c>
      <c r="H941" s="30">
        <f ca="1">IF(H107&lt;1,-(H273+H440+H607+H774),-(H273+H440+'3. General Model Inputs'!$D$53*H607+H774)/H107)</f>
        <v>-15127.378867207832</v>
      </c>
    </row>
    <row r="942" spans="2:8">
      <c r="B942" s="152">
        <f t="shared" si="32"/>
        <v>0</v>
      </c>
      <c r="D942" s="30">
        <f ca="1">IF(D108&lt;1,-(D274+D441+D608+D775),-(D274+D441+'3. General Model Inputs'!$D$53*D608+D775)/D108)</f>
        <v>0</v>
      </c>
      <c r="E942" s="30">
        <f ca="1">IF(E108&lt;1,-(E274+E441+E608+E775),-(E274+E441+'3. General Model Inputs'!$D$53*E608+E775)/E108)</f>
        <v>-189.35824374999996</v>
      </c>
      <c r="F942" s="30">
        <f ca="1">IF(F108&lt;1,-(F274+F441+F608+F775),-(F274+F441+'3. General Model Inputs'!$D$53*F608+F775)/F108)</f>
        <v>-386.65990535222454</v>
      </c>
      <c r="G942" s="30">
        <f ca="1">IF(G108&lt;1,-(G274+G441+G608+G775),-(G274+G441+'3. General Model Inputs'!$D$53*G608+G775)/G108)</f>
        <v>-396.32640298603013</v>
      </c>
      <c r="H942" s="30">
        <f ca="1">IF(H108&lt;1,-(H274+H441+H608+H775),-(H274+H441+'3. General Model Inputs'!$D$53*H608+H775)/H108)</f>
        <v>-406.2345630606809</v>
      </c>
    </row>
    <row r="943" spans="2:8">
      <c r="B943" s="152">
        <f t="shared" si="32"/>
        <v>0</v>
      </c>
      <c r="D943" s="30">
        <f ca="1">IF(D109&lt;1,-(D275+D442+D609+D776),-(D275+D442+'3. General Model Inputs'!$D$53*D609+D776)/D109)</f>
        <v>-4568.1331312500006</v>
      </c>
      <c r="E943" s="30">
        <f ca="1">IF(E109&lt;1,-(E275+E442+E609+E776),-(E275+E442+'3. General Model Inputs'!$D$53*E609+E776)/E109)</f>
        <v>-9327.8955760566751</v>
      </c>
      <c r="F943" s="30">
        <f ca="1">IF(F109&lt;1,-(F275+F442+F609+F776),-(F275+F442+'3. General Model Inputs'!$D$53*F609+F776)/F109)</f>
        <v>-9561.0929654580923</v>
      </c>
      <c r="G943" s="30">
        <f ca="1">IF(G109&lt;1,-(G275+G442+G609+G776),-(G275+G442+'3. General Model Inputs'!$D$53*G609+G776)/G109)</f>
        <v>-9800.1202895945462</v>
      </c>
      <c r="H943" s="30">
        <f ca="1">IF(H109&lt;1,-(H275+H442+H609+H776),-(H275+H442+'3. General Model Inputs'!$D$53*H609+H776)/H109)</f>
        <v>-10045.12329683441</v>
      </c>
    </row>
    <row r="944" spans="2:8">
      <c r="B944" s="152">
        <f t="shared" si="32"/>
        <v>0</v>
      </c>
      <c r="D944" s="30">
        <f ca="1">IF(D110&lt;1,-(D276+D443+D610+D777),-(D276+D443+'3. General Model Inputs'!$D$53*D610+D777)/D110)</f>
        <v>0</v>
      </c>
      <c r="E944" s="30">
        <f ca="1">IF(E110&lt;1,-(E276+E443+E610+E777),-(E276+E443+'3. General Model Inputs'!$D$53*E610+E777)/E110)</f>
        <v>-1404.6359125000001</v>
      </c>
      <c r="F944" s="30">
        <f ca="1">IF(F110&lt;1,-(F276+F443+F610+F777),-(F276+F443+'3. General Model Inputs'!$D$53*F610+F777)/F110)</f>
        <v>-2868.1951111599574</v>
      </c>
      <c r="G944" s="30">
        <f ca="1">IF(G110&lt;1,-(G276+G443+G610+G777),-(G276+G443+'3. General Model Inputs'!$D$53*G610+G777)/G110)</f>
        <v>-2939.8999889389565</v>
      </c>
      <c r="H944" s="30">
        <f ca="1">IF(H110&lt;1,-(H276+H443+H610+H777),-(H276+H443+'3. General Model Inputs'!$D$53*H610+H777)/H110)</f>
        <v>-3013.3974886624301</v>
      </c>
    </row>
    <row r="945" spans="2:8">
      <c r="B945" s="152">
        <f t="shared" si="32"/>
        <v>0</v>
      </c>
      <c r="D945" s="30">
        <f ca="1">IF(D111&lt;1,-(D277+D444+D611+D778),-(D277+D444+'3. General Model Inputs'!$D$53*D611+D778)/D111)</f>
        <v>0</v>
      </c>
      <c r="E945" s="30">
        <f ca="1">IF(E111&lt;1,-(E277+E444+E611+E778),-(E277+E444+'3. General Model Inputs'!$D$53*E611+E778)/E111)</f>
        <v>0</v>
      </c>
      <c r="F945" s="30">
        <f ca="1">IF(F111&lt;1,-(F277+F444+F611+F778),-(F277+F444+'3. General Model Inputs'!$D$53*F611+F778)/F111)</f>
        <v>-11143.604867881717</v>
      </c>
      <c r="G945" s="30">
        <f ca="1">IF(G111&lt;1,-(G277+G444+G611+G778),-(G277+G444+'3. General Model Inputs'!$D$53*G611+G778)/G111)</f>
        <v>-22950.062094283985</v>
      </c>
      <c r="H945" s="30">
        <f ca="1">IF(H111&lt;1,-(H277+H444+H611+H778),-(H277+H444+'3. General Model Inputs'!$D$53*H611+H778)/H111)</f>
        <v>-23523.813646641087</v>
      </c>
    </row>
    <row r="946" spans="2:8">
      <c r="B946" s="152">
        <f t="shared" si="32"/>
        <v>0</v>
      </c>
      <c r="D946" s="30">
        <f ca="1">IF(D112&lt;1,-(D278+D445+D612+D779),-(D278+D445+'3. General Model Inputs'!$D$53*D612+D779)/D112)</f>
        <v>-140.68731458333338</v>
      </c>
      <c r="E946" s="30">
        <f ca="1">IF(E112&lt;1,-(E278+E445+E612+E779),-(E278+E445+'3. General Model Inputs'!$D$53*E612+E779)/E112)</f>
        <v>-287.27634278689976</v>
      </c>
      <c r="F946" s="30">
        <f ca="1">IF(F112&lt;1,-(F278+F445+F612+F779),-(F278+F445+'3. General Model Inputs'!$D$53*F612+F779)/F112)</f>
        <v>-294.4582513565723</v>
      </c>
      <c r="G946" s="30">
        <f ca="1">IF(G112&lt;1,-(G278+G445+G612+G779),-(G278+G445+'3. General Model Inputs'!$D$53*G612+G779)/G112)</f>
        <v>-301.81970764048663</v>
      </c>
      <c r="H946" s="30">
        <f ca="1">IF(H112&lt;1,-(H278+H445+H612+H779),-(H278+H445+'3. General Model Inputs'!$D$53*H612+H779)/H112)</f>
        <v>-309.36520033149878</v>
      </c>
    </row>
    <row r="947" spans="2:8">
      <c r="B947" s="152">
        <f t="shared" si="32"/>
        <v>0</v>
      </c>
      <c r="D947" s="30">
        <f ca="1">IF(D113&lt;1,-(D279+D446+D613+D780),-(D279+D446+'3. General Model Inputs'!$D$53*D613+D780)/D113)</f>
        <v>0</v>
      </c>
      <c r="E947" s="30">
        <f ca="1">IF(E113&lt;1,-(E279+E446+E613+E780),-(E279+E446+'3. General Model Inputs'!$D$53*E613+E780)/E113)</f>
        <v>-1574.2151241666666</v>
      </c>
      <c r="F947" s="30">
        <f ca="1">IF(F113&lt;1,-(F279+F446+F613+F780),-(F279+F446+'3. General Model Inputs'!$D$53*F613+F780)/F113)</f>
        <v>-3214.4672387115115</v>
      </c>
      <c r="G947" s="30">
        <f ca="1">IF(G113&lt;1,-(G279+G446+G613+G780),-(G279+G446+'3. General Model Inputs'!$D$53*G613+G780)/G113)</f>
        <v>-3294.8289196792994</v>
      </c>
      <c r="H947" s="30">
        <f ca="1">IF(H113&lt;1,-(H279+H446+H613+H780),-(H279+H446+'3. General Model Inputs'!$D$53*H613+H780)/H113)</f>
        <v>-3377.1996426712817</v>
      </c>
    </row>
    <row r="948" spans="2:8">
      <c r="B948" s="152">
        <f t="shared" si="32"/>
        <v>0</v>
      </c>
      <c r="D948" s="30">
        <f ca="1">IF(D114&lt;1,-(D280+D447+D614+D781),-(D280+D447+'3. General Model Inputs'!$D$53*D614+D781)/D114)</f>
        <v>0</v>
      </c>
      <c r="E948" s="30">
        <f ca="1">IF(E114&lt;1,-(E280+E447+E614+E781),-(E280+E447+'3. General Model Inputs'!$D$53*E614+E781)/E114)</f>
        <v>0</v>
      </c>
      <c r="F948" s="30">
        <f ca="1">IF(F114&lt;1,-(F280+F447+F614+F781),-(F280+F447+'3. General Model Inputs'!$D$53*F614+F781)/F114)</f>
        <v>-1845.4270833333333</v>
      </c>
      <c r="G948" s="30">
        <f ca="1">IF(G114&lt;1,-(G280+G447+G614+G781),-(G280+G447+'3. General Model Inputs'!$D$53*G614+G781)/G114)</f>
        <v>-3768.2682688912428</v>
      </c>
      <c r="H948" s="30">
        <f ca="1">IF(H114&lt;1,-(H280+H447+H614+H781),-(H280+H447+'3. General Model Inputs'!$D$53*H614+H781)/H114)</f>
        <v>-3862.4749756135238</v>
      </c>
    </row>
    <row r="949" spans="2:8">
      <c r="B949" s="152">
        <f t="shared" si="32"/>
        <v>0</v>
      </c>
      <c r="D949" s="30">
        <f ca="1">IF(D115&lt;1,-(D281+D448+D615+D782),-(D281+D448+'3. General Model Inputs'!$D$53*D615+D782)/D115)</f>
        <v>-1338.2859541666669</v>
      </c>
      <c r="E949" s="30">
        <f ca="1">IF(E115&lt;1,-(E281+E448+E615+E782),-(E281+E448+'3. General Model Inputs'!$D$53*E615+E782)/E115)</f>
        <v>-2732.7118699699868</v>
      </c>
      <c r="F949" s="30">
        <f ca="1">IF(F115&lt;1,-(F281+F448+F615+F782),-(F281+F448+'3. General Model Inputs'!$D$53*F615+F782)/F115)</f>
        <v>-2801.029666719236</v>
      </c>
      <c r="G949" s="30">
        <f ca="1">IF(G115&lt;1,-(G281+G448+G615+G782),-(G281+G448+'3. General Model Inputs'!$D$53*G615+G782)/G115)</f>
        <v>-2871.0554083872171</v>
      </c>
      <c r="H949" s="30">
        <f ca="1">IF(H115&lt;1,-(H281+H448+H615+H782),-(H281+H448+'3. General Model Inputs'!$D$53*H615+H782)/H115)</f>
        <v>-2942.831793596898</v>
      </c>
    </row>
    <row r="950" spans="2:8">
      <c r="B950" s="152">
        <f t="shared" si="32"/>
        <v>0</v>
      </c>
      <c r="D950" s="30">
        <f ca="1">IF(D116&lt;1,-(D282+D449+D616+D783),-(D282+D449+'3. General Model Inputs'!$D$53*D616+D783)/D116)</f>
        <v>0</v>
      </c>
      <c r="E950" s="30">
        <f ca="1">IF(E116&lt;1,-(E282+E449+E616+E783),-(E282+E449+'3. General Model Inputs'!$D$53*E616+E783)/E116)</f>
        <v>-985.28637500000002</v>
      </c>
      <c r="F950" s="30">
        <f ca="1">IF(F116&lt;1,-(F282+F449+F616+F783),-(F282+F449+'3. General Model Inputs'!$D$53*F616+F783)/F116)</f>
        <v>-2011.9046784427967</v>
      </c>
      <c r="G950" s="30">
        <f ca="1">IF(G116&lt;1,-(G282+G449+G616+G783),-(G282+G449+'3. General Model Inputs'!$D$53*G616+G783)/G116)</f>
        <v>-2062.2022954038666</v>
      </c>
      <c r="H950" s="30">
        <f ca="1">IF(H116&lt;1,-(H282+H449+H616+H783),-(H282+H449+'3. General Model Inputs'!$D$53*H616+H783)/H116)</f>
        <v>-2113.7573527889631</v>
      </c>
    </row>
    <row r="951" spans="2:8">
      <c r="B951" s="152">
        <f t="shared" si="32"/>
        <v>0</v>
      </c>
      <c r="D951" s="30">
        <f ca="1">IF(D117&lt;1,-(D283+D450+D617+D784),-(D283+D450+'3. General Model Inputs'!$D$53*D617+D784)/D117)</f>
        <v>0</v>
      </c>
      <c r="E951" s="30">
        <f ca="1">IF(E117&lt;1,-(E283+E450+E617+E784),-(E283+E450+'3. General Model Inputs'!$D$53*E617+E784)/E117)</f>
        <v>0</v>
      </c>
      <c r="F951" s="30">
        <f ca="1">IF(F117&lt;1,-(F283+F450+F617+F784),-(F283+F450+'3. General Model Inputs'!$D$53*F617+F784)/F117)</f>
        <v>0</v>
      </c>
      <c r="G951" s="30">
        <f ca="1">IF(G117&lt;1,-(G283+G450+G617+G784),-(G283+G450+'3. General Model Inputs'!$D$53*G617+G784)/G117)</f>
        <v>-2235.3114583333331</v>
      </c>
      <c r="H951" s="30">
        <f ca="1">IF(H117&lt;1,-(H283+H450+H617+H784),-(H283+H450+'3. General Model Inputs'!$D$53*H617+H784)/H117)</f>
        <v>-4564.3923380120059</v>
      </c>
    </row>
    <row r="952" spans="2:8">
      <c r="B952" s="152">
        <f t="shared" si="32"/>
        <v>0</v>
      </c>
      <c r="D952" s="30">
        <f ca="1">IF(D118&lt;1,-(D284+D451+D618+D785),-(D284+D451+'3. General Model Inputs'!$D$53*D618+D785)/D118)</f>
        <v>-1033.195558333334</v>
      </c>
      <c r="E952" s="30">
        <f ca="1">IF(E118&lt;1,-(E284+E451+E618+E785),-(E284+E451+'3. General Model Inputs'!$D$53*E618+E785)/E118)</f>
        <v>-2109.7327947492954</v>
      </c>
      <c r="F952" s="30">
        <f ca="1">IF(F118&lt;1,-(F284+F451+F618+F785),-(F284+F451+'3. General Model Inputs'!$D$53*F618+F785)/F118)</f>
        <v>-2162.4761146180276</v>
      </c>
      <c r="G952" s="30">
        <f ca="1">IF(G118&lt;1,-(G284+G451+G618+G785),-(G284+G451+'3. General Model Inputs'!$D$53*G618+G785)/G118)</f>
        <v>-2216.5380174834786</v>
      </c>
      <c r="H952" s="30">
        <f ca="1">IF(H118&lt;1,-(H284+H451+H618+H785),-(H284+H451+'3. General Model Inputs'!$D$53*H618+H785)/H118)</f>
        <v>-2271.9514679205654</v>
      </c>
    </row>
    <row r="953" spans="2:8">
      <c r="B953" s="152">
        <f t="shared" si="32"/>
        <v>0</v>
      </c>
      <c r="D953" s="30">
        <f ca="1">IF(D119&lt;1,-(D285+D452+D619+D786),-(D285+D452+'3. General Model Inputs'!$D$53*D619+D786)/D119)</f>
        <v>-860.05904999999973</v>
      </c>
      <c r="E953" s="30">
        <f ca="1">IF(E119&lt;1,-(E285+E452+E619+E786),-(E285+E452+'3. General Model Inputs'!$D$53*E619+E786)/E119)</f>
        <v>-1756.1968482838977</v>
      </c>
      <c r="F953" s="30">
        <f ca="1">IF(F119&lt;1,-(F285+F452+F619+F786),-(F285+F452+'3. General Model Inputs'!$D$53*F619+F786)/F119)</f>
        <v>-1800.1017694909951</v>
      </c>
      <c r="G953" s="30">
        <f ca="1">IF(G119&lt;1,-(G285+G452+G619+G786),-(G285+G452+'3. General Model Inputs'!$D$53*G619+G786)/G119)</f>
        <v>-1845.1043137282702</v>
      </c>
      <c r="H953" s="30">
        <f ca="1">IF(H119&lt;1,-(H285+H452+H619+H786),-(H285+H452+'3. General Model Inputs'!$D$53*H619+H786)/H119)</f>
        <v>-1891.2319215714767</v>
      </c>
    </row>
    <row r="954" spans="2:8">
      <c r="B954" s="152">
        <f t="shared" si="32"/>
        <v>0</v>
      </c>
      <c r="D954" s="30">
        <f ca="1">IF(D120&lt;1,-(D286+D453+D620+D787),-(D286+D453+'3. General Model Inputs'!$D$53*D620+D787)/D120)</f>
        <v>-453.23533281250002</v>
      </c>
      <c r="E954" s="30">
        <f ca="1">IF(E120&lt;1,-(E286+E453+E620+E787),-(E286+E453+'3. General Model Inputs'!$D$53*E620+E787)/E120)</f>
        <v>-923.53870505686325</v>
      </c>
      <c r="F954" s="30">
        <f ca="1">IF(F120&lt;1,-(F286+F453+F620+F787),-(F286+F453+'3. General Model Inputs'!$D$53*F620+F787)/F120)</f>
        <v>-946.62717268328481</v>
      </c>
      <c r="G954" s="30">
        <f ca="1">IF(G120&lt;1,-(G286+G453+G620+G787),-(G286+G453+'3. General Model Inputs'!$D$53*G620+G787)/G120)</f>
        <v>-970.29285200036702</v>
      </c>
      <c r="H954" s="30">
        <f ca="1">IF(H120&lt;1,-(H286+H453+H620+H787),-(H286+H453+'3. General Model Inputs'!$D$53*H620+H787)/H120)</f>
        <v>-994.55017330037629</v>
      </c>
    </row>
    <row r="955" spans="2:8">
      <c r="B955" s="152">
        <f t="shared" si="32"/>
        <v>0</v>
      </c>
      <c r="D955" s="30">
        <f ca="1">IF(D121&lt;1,-(D287+D454+D621+D788),-(D287+D454+'3. General Model Inputs'!$D$53*D621+D788)/D121)</f>
        <v>-7297.9595125000005</v>
      </c>
      <c r="E955" s="30">
        <f ca="1">IF(E121&lt;1,-(E287+E454+E621+E788),-(E287+E454+'3. General Model Inputs'!$D$53*E621+E788)/E121)</f>
        <v>-15589.25240309028</v>
      </c>
      <c r="F955" s="30">
        <f ca="1">IF(F121&lt;1,-(F287+F454+F621+F788),-(F287+F454+'3. General Model Inputs'!$D$53*F621+F788)/F121)</f>
        <v>-15978.983713167538</v>
      </c>
      <c r="G955" s="30">
        <f ca="1">IF(G121&lt;1,-(G287+G454+G621+G788),-(G287+G454+'3. General Model Inputs'!$D$53*G621+G788)/G121)</f>
        <v>-16378.458305996724</v>
      </c>
      <c r="H955" s="30">
        <f ca="1">IF(H121&lt;1,-(H287+H454+H621+H788),-(H287+H454+'3. General Model Inputs'!$D$53*H621+H788)/H121)</f>
        <v>-16787.919763646642</v>
      </c>
    </row>
    <row r="956" spans="2:8">
      <c r="B956" s="152">
        <f t="shared" si="32"/>
        <v>0</v>
      </c>
      <c r="D956" s="30">
        <f ca="1">IF(D122&lt;1,-(D288+D455+D622+D789),-(D288+D455+'3. General Model Inputs'!$D$53*D622+D789)/D122)</f>
        <v>-2542.8968749999999</v>
      </c>
      <c r="E956" s="30">
        <f ca="1">IF(E122&lt;1,-(E288+E455+E622+E789),-(E288+E455+'3. General Model Inputs'!$D$53*E622+E789)/E122)</f>
        <v>-5785.0903906250005</v>
      </c>
      <c r="F956" s="30">
        <f ca="1">IF(F122&lt;1,-(F288+F455+F622+F789),-(F288+F455+'3. General Model Inputs'!$D$53*F622+F789)/F122)</f>
        <v>-5929.7176503906257</v>
      </c>
      <c r="G956" s="30">
        <f ca="1">IF(G122&lt;1,-(G288+G455+G622+G789),-(G288+G455+'3. General Model Inputs'!$D$53*G622+G789)/G122)</f>
        <v>-6077.9605916503906</v>
      </c>
      <c r="H956" s="30">
        <f ca="1">IF(H122&lt;1,-(H288+H455+H622+H789),-(H288+H455+'3. General Model Inputs'!$D$53*H622+H789)/H122)</f>
        <v>-6229.9096064416508</v>
      </c>
    </row>
    <row r="957" spans="2:8">
      <c r="B957" s="152">
        <f t="shared" si="32"/>
        <v>0</v>
      </c>
      <c r="D957" s="30">
        <f ca="1">IF(D123&lt;1,-(D289+D456+D623+D790),-(D289+D456+'3. General Model Inputs'!$D$53*D623+D790)/D123)</f>
        <v>0</v>
      </c>
      <c r="E957" s="30">
        <f ca="1">IF(E123&lt;1,-(E289+E456+E623+E790),-(E289+E456+'3. General Model Inputs'!$D$53*E623+E790)/E123)</f>
        <v>-7345.833333333333</v>
      </c>
      <c r="F957" s="30">
        <f ca="1">IF(F123&lt;1,-(F289+F456+F623+F790),-(F289+F456+'3. General Model Inputs'!$D$53*F623+F790)/F123)</f>
        <v>-15400.01488095238</v>
      </c>
      <c r="G957" s="30">
        <f ca="1">IF(G123&lt;1,-(G289+G456+G623+G790),-(G289+G456+'3. General Model Inputs'!$D$53*G623+G790)/G123)</f>
        <v>-15785.015252976191</v>
      </c>
      <c r="H957" s="30">
        <f ca="1">IF(H123&lt;1,-(H289+H456+H623+H790),-(H289+H456+'3. General Model Inputs'!$D$53*H623+H790)/H123)</f>
        <v>-16179.640634300595</v>
      </c>
    </row>
    <row r="958" spans="2:8">
      <c r="B958" s="152">
        <f t="shared" si="32"/>
        <v>0</v>
      </c>
      <c r="D958" s="30">
        <f ca="1">IF(D124&lt;1,-(D290+D457+D624+D791),-(D290+D457+'3. General Model Inputs'!$D$53*D624+D791)/D124)</f>
        <v>-58937.840299999996</v>
      </c>
      <c r="E958" s="30">
        <f ca="1">IF(E124&lt;1,-(E290+E457+E624+E791),-(E290+E457+'3. General Model Inputs'!$D$53*E624+E791)/E124)</f>
        <v>-134083.5866825</v>
      </c>
      <c r="F958" s="30">
        <f ca="1">IF(F124&lt;1,-(F290+F457+F624+F791),-(F290+F457+'3. General Model Inputs'!$D$53*F624+F791)/F124)</f>
        <v>-137435.67634956251</v>
      </c>
      <c r="G958" s="30">
        <f ca="1">IF(G124&lt;1,-(G290+G457+G624+G791),-(G290+G457+'3. General Model Inputs'!$D$53*G624+G791)/G124)</f>
        <v>-140871.56825830159</v>
      </c>
      <c r="H958" s="30">
        <f ca="1">IF(H124&lt;1,-(H290+H457+H624+H791),-(H290+H457+'3. General Model Inputs'!$D$53*H624+H791)/H124)</f>
        <v>-144393.35746475912</v>
      </c>
    </row>
    <row r="959" spans="2:8">
      <c r="B959" s="152">
        <f t="shared" si="32"/>
        <v>0</v>
      </c>
      <c r="D959" s="30">
        <f ca="1">IF(D125&lt;1,-(D291+D458+D625+D792),-(D291+D458+'3. General Model Inputs'!$D$53*D625+D792)/D125)</f>
        <v>0</v>
      </c>
      <c r="E959" s="30">
        <f ca="1">IF(E125&lt;1,-(E291+E458+E625+E792),-(E291+E458+'3. General Model Inputs'!$D$53*E625+E792)/E125)</f>
        <v>-42998.750000000007</v>
      </c>
      <c r="F959" s="30">
        <f ca="1">IF(F125&lt;1,-(F291+F458+F625+F792),-(F291+F458+'3. General Model Inputs'!$D$53*F625+F792)/F125)</f>
        <v>-97822.156250000015</v>
      </c>
      <c r="G959" s="30">
        <f ca="1">IF(G125&lt;1,-(G291+G458+G625+G792),-(G291+G458+'3. General Model Inputs'!$D$53*G625+G792)/G125)</f>
        <v>-100267.71015625003</v>
      </c>
      <c r="H959" s="30">
        <f ca="1">IF(H125&lt;1,-(H291+H458+H625+H792),-(H291+H458+'3. General Model Inputs'!$D$53*H625+H792)/H125)</f>
        <v>-102774.40291015626</v>
      </c>
    </row>
    <row r="960" spans="2:8">
      <c r="B960" s="152">
        <f t="shared" si="32"/>
        <v>0</v>
      </c>
      <c r="D960" s="30">
        <f ca="1">IF(D126&lt;1,-(D292+D459+D626+D793),-(D292+D459+'3. General Model Inputs'!$D$53*D626+D793)/D126)</f>
        <v>0</v>
      </c>
      <c r="E960" s="30">
        <f ca="1">IF(E126&lt;1,-(E292+E459+E626+E793),-(E292+E459+'3. General Model Inputs'!$D$53*E626+E793)/E126)</f>
        <v>0</v>
      </c>
      <c r="F960" s="30">
        <f ca="1">IF(F126&lt;1,-(F292+F459+F626+F793),-(F292+F459+'3. General Model Inputs'!$D$53*F626+F793)/F126)</f>
        <v>-46125</v>
      </c>
      <c r="G960" s="30">
        <f ca="1">IF(G126&lt;1,-(G292+G459+G626+G793),-(G292+G459+'3. General Model Inputs'!$D$53*G626+G793)/G126)</f>
        <v>-104934.375</v>
      </c>
      <c r="H960" s="30">
        <f ca="1">IF(H126&lt;1,-(H292+H459+H626+H793),-(H292+H459+'3. General Model Inputs'!$D$53*H626+H793)/H126)</f>
        <v>-107557.734375</v>
      </c>
    </row>
    <row r="961" spans="2:8">
      <c r="B961" s="152">
        <f t="shared" si="32"/>
        <v>0</v>
      </c>
      <c r="D961" s="30">
        <f ca="1">IF(D127&lt;1,-(D293+D460+D627+D794),-(D293+D460+'3. General Model Inputs'!$D$53*D627+D794)/D127)</f>
        <v>0</v>
      </c>
      <c r="E961" s="30">
        <f ca="1">IF(E127&lt;1,-(E293+E460+E627+E794),-(E293+E460+'3. General Model Inputs'!$D$53*E627+E794)/E127)</f>
        <v>0</v>
      </c>
      <c r="F961" s="30">
        <f ca="1">IF(F127&lt;1,-(F293+F460+F627+F794),-(F293+F460+'3. General Model Inputs'!$D$53*F627+F794)/F127)</f>
        <v>0</v>
      </c>
      <c r="G961" s="30">
        <f ca="1">IF(G127&lt;1,-(G293+G460+G627+G794),-(G293+G460+'3. General Model Inputs'!$D$53*G627+G794)/G127)</f>
        <v>-46125</v>
      </c>
      <c r="H961" s="30">
        <f ca="1">IF(H127&lt;1,-(H293+H460+H627+H794),-(H293+H460+'3. General Model Inputs'!$D$53*H627+H794)/H127)</f>
        <v>-104934.375</v>
      </c>
    </row>
    <row r="962" spans="2:8">
      <c r="B962" s="152">
        <f t="shared" si="32"/>
        <v>0</v>
      </c>
      <c r="D962" s="30">
        <f ca="1">IF(D128&lt;1,-(D294+D461+D628+D795),-(D294+D461+'3. General Model Inputs'!$D$53*D628+D795)/D128)</f>
        <v>0</v>
      </c>
      <c r="E962" s="30">
        <f ca="1">IF(E128&lt;1,-(E294+E461+E628+E795),-(E294+E461+'3. General Model Inputs'!$D$53*E628+E795)/E128)</f>
        <v>0</v>
      </c>
      <c r="F962" s="30">
        <f ca="1">IF(F128&lt;1,-(F294+F461+F628+F795),-(F294+F461+'3. General Model Inputs'!$D$53*F628+F795)/F128)</f>
        <v>0</v>
      </c>
      <c r="G962" s="30">
        <f ca="1">IF(G128&lt;1,-(G294+G461+G628+G795),-(G294+G461+'3. General Model Inputs'!$D$53*G628+G795)/G128)</f>
        <v>0</v>
      </c>
      <c r="H962" s="30">
        <f ca="1">IF(H128&lt;1,-(H294+H461+H628+H795),-(H294+H461+'3. General Model Inputs'!$D$53*H628+H795)/H128)</f>
        <v>-46125</v>
      </c>
    </row>
    <row r="963" spans="2:8">
      <c r="B963" s="152">
        <f t="shared" si="32"/>
        <v>0</v>
      </c>
      <c r="D963" s="30">
        <f ca="1">IF(D129&lt;1,-(D295+D462+D629+D796),-(D295+D462+'3. General Model Inputs'!$D$53*D629+D796)/D129)</f>
        <v>-50738.801749999999</v>
      </c>
      <c r="E963" s="30">
        <f ca="1">IF(E129&lt;1,-(E295+E462+E629+E796),-(E295+E462+'3. General Model Inputs'!$D$53*E629+E796)/E129)</f>
        <v>-115430.77398125001</v>
      </c>
      <c r="F963" s="30">
        <f ca="1">IF(F129&lt;1,-(F295+F462+F629+F796),-(F295+F462+'3. General Model Inputs'!$D$53*F629+F796)/F129)</f>
        <v>-118316.54333078126</v>
      </c>
      <c r="G963" s="30">
        <f ca="1">IF(G129&lt;1,-(G295+G462+G629+G796),-(G295+G462+'3. General Model Inputs'!$D$53*G629+G796)/G129)</f>
        <v>-121274.45691405078</v>
      </c>
      <c r="H963" s="30">
        <f ca="1">IF(H129&lt;1,-(H295+H462+H629+H796),-(H295+H462+'3. General Model Inputs'!$D$53*H629+H796)/H129)</f>
        <v>-124306.31833690206</v>
      </c>
    </row>
    <row r="964" spans="2:8">
      <c r="B964" s="152">
        <f t="shared" si="32"/>
        <v>0</v>
      </c>
      <c r="D964" s="30">
        <f ca="1">IF(D130&lt;1,-(D296+D463+D630+D797),-(D296+D463+'3. General Model Inputs'!$D$53*D630+D797)/D130)</f>
        <v>0</v>
      </c>
      <c r="E964" s="30">
        <f ca="1">IF(E130&lt;1,-(E296+E463+E630+E797),-(E296+E463+'3. General Model Inputs'!$D$53*E630+E797)/E130)</f>
        <v>-6905.9375</v>
      </c>
      <c r="F964" s="30">
        <f ca="1">IF(F130&lt;1,-(F296+F463+F630+F797),-(F296+F463+'3. General Model Inputs'!$D$53*F630+F797)/F130)</f>
        <v>-14161.59875801282</v>
      </c>
      <c r="G964" s="30">
        <f ca="1">IF(G130&lt;1,-(G296+G463+G630+G797),-(G296+G463+'3. General Model Inputs'!$D$53*G630+G797)/G130)</f>
        <v>-14515.638726963141</v>
      </c>
      <c r="H964" s="30">
        <f ca="1">IF(H130&lt;1,-(H296+H463+H630+H797),-(H296+H463+'3. General Model Inputs'!$D$53*H630+H797)/H130)</f>
        <v>-14878.529695137218</v>
      </c>
    </row>
    <row r="965" spans="2:8">
      <c r="B965" s="152">
        <f t="shared" si="32"/>
        <v>0</v>
      </c>
      <c r="D965" s="30">
        <f ca="1">IF(D131&lt;1,-(D297+D464+D631+D798),-(D297+D464+'3. General Model Inputs'!$D$53*D631+D798)/D131)</f>
        <v>0</v>
      </c>
      <c r="E965" s="30">
        <f ca="1">IF(E131&lt;1,-(E297+E464+E631+E798),-(E297+E464+'3. General Model Inputs'!$D$53*E631+E798)/E131)</f>
        <v>-488.58316249999996</v>
      </c>
      <c r="F965" s="30">
        <f ca="1">IF(F131&lt;1,-(F297+F464+F631+F798),-(F297+F464+'3. General Model Inputs'!$D$53*F631+F798)/F131)</f>
        <v>-1001.9086774599358</v>
      </c>
      <c r="G965" s="30">
        <f ca="1">IF(G131&lt;1,-(G297+G464+G631+G798),-(G297+G464+'3. General Model Inputs'!$D$53*G631+G798)/G131)</f>
        <v>-1026.9563943964342</v>
      </c>
      <c r="H965" s="30">
        <f ca="1">IF(H131&lt;1,-(H297+H464+H631+H798),-(H297+H464+'3. General Model Inputs'!$D$53*H631+H798)/H131)</f>
        <v>-1052.6303042563454</v>
      </c>
    </row>
    <row r="966" spans="2:8">
      <c r="B966" s="152">
        <f t="shared" si="32"/>
        <v>0</v>
      </c>
      <c r="D966" s="30">
        <f ca="1">IF(D132&lt;1,-(D298+D465+D632+D799),-(D298+D465+'3. General Model Inputs'!$D$53*D632+D799)/D132)</f>
        <v>0</v>
      </c>
      <c r="E966" s="30">
        <f ca="1">IF(E132&lt;1,-(E298+E465+E632+E799),-(E298+E465+'3. General Model Inputs'!$D$53*E632+E799)/E132)</f>
        <v>-5470.63</v>
      </c>
      <c r="F966" s="30">
        <f ca="1">IF(F132&lt;1,-(F298+F465+F632+F799),-(F298+F465+'3. General Model Inputs'!$D$53*F632+F799)/F132)</f>
        <v>-11218.298314102563</v>
      </c>
      <c r="G966" s="30">
        <f ca="1">IF(G132&lt;1,-(G298+G465+G632+G799),-(G298+G465+'3. General Model Inputs'!$D$53*G632+G799)/G132)</f>
        <v>-11498.755771955128</v>
      </c>
      <c r="H966" s="30">
        <f ca="1">IF(H132&lt;1,-(H298+H465+H632+H799),-(H298+H465+'3. General Model Inputs'!$D$53*H632+H799)/H132)</f>
        <v>-11786.224666254007</v>
      </c>
    </row>
    <row r="967" spans="2:8">
      <c r="B967" s="152">
        <f t="shared" si="32"/>
        <v>0</v>
      </c>
      <c r="D967" s="30">
        <f ca="1">IF(D133&lt;1,-(D299+D466+D633+D800),-(D299+D466+'3. General Model Inputs'!$D$53*D633+D800)/D133)</f>
        <v>0</v>
      </c>
      <c r="E967" s="30">
        <f ca="1">IF(E133&lt;1,-(E299+E466+E633+E800),-(E299+E466+'3. General Model Inputs'!$D$53*E633+E800)/E133)</f>
        <v>-16190.976874999998</v>
      </c>
      <c r="F967" s="30">
        <f ca="1">IF(F133&lt;1,-(F299+F466+F633+F800),-(F299+F466+'3. General Model Inputs'!$D$53*F633+F800)/F133)</f>
        <v>-33201.88142508013</v>
      </c>
      <c r="G967" s="30">
        <f ca="1">IF(G133&lt;1,-(G299+G466+G633+G800),-(G299+G466+'3. General Model Inputs'!$D$53*G633+G800)/G133)</f>
        <v>-34031.928460707131</v>
      </c>
      <c r="H967" s="30">
        <f ca="1">IF(H133&lt;1,-(H299+H466+H633+H800),-(H299+H466+'3. General Model Inputs'!$D$53*H633+H800)/H133)</f>
        <v>-34882.726672224817</v>
      </c>
    </row>
    <row r="968" spans="2:8">
      <c r="B968" s="152">
        <f t="shared" si="32"/>
        <v>0</v>
      </c>
      <c r="D968" s="30">
        <f ca="1">IF(D134&lt;1,-(D300+D467+D634+D801),-(D300+D467+'3. General Model Inputs'!$D$53*D634+D801)/D134)</f>
        <v>0</v>
      </c>
      <c r="E968" s="30">
        <f ca="1">IF(E134&lt;1,-(E300+E467+E634+E801),-(E300+E467+'3. General Model Inputs'!$D$53*E634+E801)/E134)</f>
        <v>-6652.25</v>
      </c>
      <c r="F968" s="30">
        <f ca="1">IF(F134&lt;1,-(F300+F467+F634+F801),-(F300+F467+'3. General Model Inputs'!$D$53*F634+F801)/F134)</f>
        <v>-13641.376762820511</v>
      </c>
      <c r="G968" s="30">
        <f ca="1">IF(G134&lt;1,-(G300+G467+G634+G801),-(G300+G467+'3. General Model Inputs'!$D$53*G634+G801)/G134)</f>
        <v>-13982.411181891024</v>
      </c>
      <c r="H968" s="30">
        <f ca="1">IF(H134&lt;1,-(H300+H467+H634+H801),-(H300+H467+'3. General Model Inputs'!$D$53*H634+H801)/H134)</f>
        <v>-14331.971461438301</v>
      </c>
    </row>
    <row r="969" spans="2:8">
      <c r="B969" s="152">
        <f t="shared" si="32"/>
        <v>0</v>
      </c>
      <c r="D969" s="30">
        <f ca="1">IF(D135&lt;1,-(D301+D468+D635+D802),-(D301+D468+'3. General Model Inputs'!$D$53*D635+D802)/D135)</f>
        <v>0</v>
      </c>
      <c r="E969" s="30">
        <f ca="1">IF(E135&lt;1,-(E301+E468+E635+E802),-(E301+E468+'3. General Model Inputs'!$D$53*E635+E802)/E135)</f>
        <v>-4157.65625</v>
      </c>
      <c r="F969" s="30">
        <f ca="1">IF(F135&lt;1,-(F301+F468+F635+F802),-(F301+F468+'3. General Model Inputs'!$D$53*F635+F802)/F135)</f>
        <v>-8525.8604767628203</v>
      </c>
      <c r="G969" s="30">
        <f ca="1">IF(G135&lt;1,-(G301+G468+G635+G802),-(G301+G468+'3. General Model Inputs'!$D$53*G635+G802)/G135)</f>
        <v>-8739.006988681891</v>
      </c>
      <c r="H969" s="30">
        <f ca="1">IF(H135&lt;1,-(H301+H468+H635+H802),-(H301+H468+'3. General Model Inputs'!$D$53*H635+H802)/H135)</f>
        <v>-8957.4821633989377</v>
      </c>
    </row>
    <row r="970" spans="2:8">
      <c r="B970" s="152">
        <f t="shared" si="32"/>
        <v>0</v>
      </c>
      <c r="D970" s="30">
        <f ca="1">IF(D136&lt;1,-(D302+D469+D636+D803),-(D302+D469+'3. General Model Inputs'!$D$53*D636+D803)/D136)</f>
        <v>-399.96729999999991</v>
      </c>
      <c r="E970" s="30">
        <f ca="1">IF(E136&lt;1,-(E302+E469+E636+E803),-(E302+E469+'3. General Model Inputs'!$D$53*E636+E803)/E136)</f>
        <v>-814.99665971518959</v>
      </c>
      <c r="F970" s="30">
        <f ca="1">IF(F136&lt;1,-(F302+F469+F636+F803),-(F302+F469+'3. General Model Inputs'!$D$53*F636+F803)/F136)</f>
        <v>-835.37157620806943</v>
      </c>
      <c r="G970" s="30">
        <f ca="1">IF(G136&lt;1,-(G302+G469+G636+G803),-(G302+G469+'3. General Model Inputs'!$D$53*G636+G803)/G136)</f>
        <v>-856.25586561327111</v>
      </c>
      <c r="H970" s="30">
        <f ca="1">IF(H136&lt;1,-(H302+H469+H636+H803),-(H302+H469+'3. General Model Inputs'!$D$53*H636+H803)/H136)</f>
        <v>-877.66226225360299</v>
      </c>
    </row>
    <row r="971" spans="2:8">
      <c r="B971" s="152">
        <f t="shared" si="32"/>
        <v>0</v>
      </c>
      <c r="D971" s="30">
        <f ca="1">IF(D137&lt;1,-(D303+D470+D637+D804),-(D303+D470+'3. General Model Inputs'!$D$53*D637+D804)/D137)</f>
        <v>0</v>
      </c>
      <c r="E971" s="30">
        <f ca="1">IF(E137&lt;1,-(E303+E470+E637+E804),-(E303+E470+'3. General Model Inputs'!$D$53*E637+E804)/E137)</f>
        <v>-28700</v>
      </c>
      <c r="F971" s="30">
        <f ca="1">IF(F137&lt;1,-(F303+F470+F637+F804),-(F303+F470+'3. General Model Inputs'!$D$53*F637+F804)/F137)</f>
        <v>-65292.5</v>
      </c>
      <c r="G971" s="30">
        <f ca="1">IF(G137&lt;1,-(G303+G470+G637+G804),-(G303+G470+'3. General Model Inputs'!$D$53*G637+G804)/G137)</f>
        <v>-66924.8125</v>
      </c>
      <c r="H971" s="30">
        <f ca="1">IF(H137&lt;1,-(H303+H470+H637+H804),-(H303+H470+'3. General Model Inputs'!$D$53*H637+H804)/H137)</f>
        <v>-68597.932812500003</v>
      </c>
    </row>
    <row r="972" spans="2:8">
      <c r="B972" s="152">
        <f t="shared" si="32"/>
        <v>0</v>
      </c>
      <c r="D972" s="30">
        <f ca="1">IF(D138&lt;1,-(D304+D471+D638+D805),-(D304+D471+'3. General Model Inputs'!$D$53*D638+D805)/D138)</f>
        <v>-889.73126250000007</v>
      </c>
      <c r="E972" s="30">
        <f ca="1">IF(E138&lt;1,-(E304+E471+E638+E805),-(E304+E471+'3. General Model Inputs'!$D$53*E638+E805)/E138)</f>
        <v>-1848.5337677467105</v>
      </c>
      <c r="F972" s="30">
        <f ca="1">IF(F138&lt;1,-(F304+F471+F638+F805),-(F304+F471+'3. General Model Inputs'!$D$53*F638+F805)/F138)</f>
        <v>-1894.7471119403781</v>
      </c>
      <c r="G972" s="30">
        <f ca="1">IF(G138&lt;1,-(G304+G471+G638+G805),-(G304+G471+'3. General Model Inputs'!$D$53*G638+G805)/G138)</f>
        <v>-1942.1157897388878</v>
      </c>
      <c r="H972" s="30">
        <f ca="1">IF(H138&lt;1,-(H304+H471+H638+H805),-(H304+H471+'3. General Model Inputs'!$D$53*H638+H805)/H138)</f>
        <v>-1990.66868448236</v>
      </c>
    </row>
    <row r="973" spans="2:8">
      <c r="B973" s="152">
        <f t="shared" si="32"/>
        <v>0</v>
      </c>
      <c r="D973" s="30">
        <f ca="1">IF(D139&lt;1,-(D305+D472+D639+D806),-(D305+D472+'3. General Model Inputs'!$D$53*D639+D806)/D139)</f>
        <v>-31.619904687500004</v>
      </c>
      <c r="E973" s="30">
        <f ca="1">IF(E139&lt;1,-(E305+E472+E639+E806),-(E305+E472+'3. General Model Inputs'!$D$53*E639+E806)/E139)</f>
        <v>-64.430558950257122</v>
      </c>
      <c r="F973" s="30">
        <f ca="1">IF(F139&lt;1,-(F305+F472+F639+F806),-(F305+F472+'3. General Model Inputs'!$D$53*F639+F806)/F139)</f>
        <v>-66.041322924013556</v>
      </c>
      <c r="G973" s="30">
        <f ca="1">IF(G139&lt;1,-(G305+G472+G639+G806),-(G305+G472+'3. General Model Inputs'!$D$53*G639+G806)/G139)</f>
        <v>-67.692355997113893</v>
      </c>
      <c r="H973" s="30">
        <f ca="1">IF(H139&lt;1,-(H305+H472+H639+H806),-(H305+H472+'3. General Model Inputs'!$D$53*H639+H806)/H139)</f>
        <v>-69.384664897041731</v>
      </c>
    </row>
    <row r="974" spans="2:8">
      <c r="B974" s="152">
        <f t="shared" si="32"/>
        <v>0</v>
      </c>
      <c r="D974" s="30">
        <f ca="1">IF(D140&lt;1,-(D306+D473+D640+D807),-(D306+D473+'3. General Model Inputs'!$D$53*D640+D807)/D140)</f>
        <v>-1293.0911843750002</v>
      </c>
      <c r="E974" s="30">
        <f ca="1">IF(E140&lt;1,-(E306+E473+E640+E807),-(E306+E473+'3. General Model Inputs'!$D$53*E640+E807)/E140)</f>
        <v>-2651.6658325741191</v>
      </c>
      <c r="F974" s="30">
        <f ca="1">IF(F140&lt;1,-(F306+F473+F640+F807),-(F306+F473+'3. General Model Inputs'!$D$53*F640+F807)/F140)</f>
        <v>-2717.9574783884723</v>
      </c>
      <c r="G974" s="30">
        <f ca="1">IF(G140&lt;1,-(G306+G473+G640+G807),-(G306+G473+'3. General Model Inputs'!$D$53*G640+G807)/G140)</f>
        <v>-2785.9064153481841</v>
      </c>
      <c r="H974" s="30">
        <f ca="1">IF(H140&lt;1,-(H306+H473+H640+H807),-(H306+H473+'3. General Model Inputs'!$D$53*H640+H807)/H140)</f>
        <v>-2855.5540757318881</v>
      </c>
    </row>
    <row r="975" spans="2:8">
      <c r="B975" s="152">
        <f t="shared" si="32"/>
        <v>0</v>
      </c>
      <c r="D975" s="30">
        <f ca="1">IF(D141&lt;1,-(D307+D474+D641+D808),-(D307+D474+'3. General Model Inputs'!$D$53*D641+D808)/D141)</f>
        <v>-72.005395833333324</v>
      </c>
      <c r="E975" s="30">
        <f ca="1">IF(E141&lt;1,-(E307+E474+E641+E808),-(E307+E474+'3. General Model Inputs'!$D$53*E641+E808)/E141)</f>
        <v>-147.0313570003531</v>
      </c>
      <c r="F975" s="30">
        <f ca="1">IF(F141&lt;1,-(F307+F474+F641+F808),-(F307+F474+'3. General Model Inputs'!$D$53*F641+F808)/F141)</f>
        <v>-150.70714092536193</v>
      </c>
      <c r="G975" s="30">
        <f ca="1">IF(G141&lt;1,-(G307+G474+G641+G808),-(G307+G474+'3. General Model Inputs'!$D$53*G641+G808)/G141)</f>
        <v>-154.47481944849596</v>
      </c>
      <c r="H975" s="30">
        <f ca="1">IF(H141&lt;1,-(H307+H474+H641+H808),-(H307+H474+'3. General Model Inputs'!$D$53*H641+H808)/H141)</f>
        <v>-158.33668993470837</v>
      </c>
    </row>
    <row r="976" spans="2:8">
      <c r="B976" s="152">
        <f t="shared" si="32"/>
        <v>0</v>
      </c>
      <c r="D976" s="30">
        <f ca="1">IF(D142&lt;1,-(D308+D475+D642+D809),-(D308+D475+'3. General Model Inputs'!$D$53*D642+D809)/D142)</f>
        <v>-299.05912500000005</v>
      </c>
      <c r="E976" s="30">
        <f ca="1">IF(E142&lt;1,-(E308+E475+E642+E809),-(E308+E475+'3. General Model Inputs'!$D$53*E642+E809)/E142)</f>
        <v>-610.66352685381378</v>
      </c>
      <c r="F976" s="30">
        <f ca="1">IF(F142&lt;1,-(F308+F475+F642+F809),-(F308+F475+'3. General Model Inputs'!$D$53*F642+F809)/F142)</f>
        <v>-625.93011502515913</v>
      </c>
      <c r="G976" s="30">
        <f ca="1">IF(G142&lt;1,-(G308+G475+G642+G809),-(G308+G475+'3. General Model Inputs'!$D$53*G642+G809)/G142)</f>
        <v>-641.57836790078818</v>
      </c>
      <c r="H976" s="30">
        <f ca="1">IF(H142&lt;1,-(H308+H475+H642+H809),-(H308+H475+'3. General Model Inputs'!$D$53*H642+H809)/H142)</f>
        <v>-657.61782709830788</v>
      </c>
    </row>
    <row r="977" spans="2:8">
      <c r="B977" s="152">
        <f t="shared" si="32"/>
        <v>0</v>
      </c>
      <c r="D977" s="30">
        <f ca="1">IF(D143&lt;1,-(D309+D476+D643+D810),-(D309+D476+'3. General Model Inputs'!$D$53*D643+D810)/D143)</f>
        <v>0</v>
      </c>
      <c r="E977" s="30">
        <f ca="1">IF(E143&lt;1,-(E309+E476+E643+E810),-(E309+E476+'3. General Model Inputs'!$D$53*E643+E810)/E143)</f>
        <v>-469.79166666666669</v>
      </c>
      <c r="F977" s="30">
        <f ca="1">IF(F143&lt;1,-(F309+F476+F643+F810),-(F309+F476+'3. General Model Inputs'!$D$53*F643+F810)/F143)</f>
        <v>-959.29069562146901</v>
      </c>
      <c r="G977" s="30">
        <f ca="1">IF(G143&lt;1,-(G309+G476+G643+G810),-(G309+G476+'3. General Model Inputs'!$D$53*G643+G810)/G143)</f>
        <v>-983.27296301200568</v>
      </c>
      <c r="H977" s="30">
        <f ca="1">IF(H143&lt;1,-(H309+H476+H643+H810),-(H309+H476+'3. General Model Inputs'!$D$53*H643+H810)/H143)</f>
        <v>-1007.8547870873058</v>
      </c>
    </row>
    <row r="978" spans="2:8">
      <c r="B978" s="152">
        <f t="shared" si="32"/>
        <v>0</v>
      </c>
      <c r="D978" s="30">
        <f ca="1">IF(D144&lt;1,-(D310+D477+D644+D811),-(D310+D477+'3. General Model Inputs'!$D$53*D644+D811)/D144)</f>
        <v>0</v>
      </c>
      <c r="E978" s="30">
        <f ca="1">IF(E144&lt;1,-(E310+E477+E644+E811),-(E310+E477+'3. General Model Inputs'!$D$53*E644+E811)/E144)</f>
        <v>0</v>
      </c>
      <c r="F978" s="30">
        <f ca="1">IF(F144&lt;1,-(F310+F477+F644+F811),-(F310+F477+'3. General Model Inputs'!$D$53*F644+F811)/F144)</f>
        <v>-170.83333333333334</v>
      </c>
      <c r="G978" s="30">
        <f ca="1">IF(G144&lt;1,-(G310+G477+G644+G811),-(G310+G477+'3. General Model Inputs'!$D$53*G644+G811)/G144)</f>
        <v>-348.83298022598876</v>
      </c>
      <c r="H978" s="30">
        <f ca="1">IF(H144&lt;1,-(H310+H477+H644+H811),-(H310+H477+'3. General Model Inputs'!$D$53*H644+H811)/H144)</f>
        <v>-357.55380473163842</v>
      </c>
    </row>
    <row r="979" spans="2:8">
      <c r="B979" s="152">
        <f t="shared" si="32"/>
        <v>0</v>
      </c>
      <c r="D979" s="30">
        <f ca="1">IF(D145&lt;1,-(D311+D478+D645+D812),-(D311+D478+'3. General Model Inputs'!$D$53*D645+D812)/D145)</f>
        <v>0</v>
      </c>
      <c r="E979" s="30">
        <f ca="1">IF(E145&lt;1,-(E311+E478+E645+E812),-(E311+E478+'3. General Model Inputs'!$D$53*E645+E812)/E145)</f>
        <v>0</v>
      </c>
      <c r="F979" s="30">
        <f ca="1">IF(F145&lt;1,-(F311+F478+F645+F812),-(F311+F478+'3. General Model Inputs'!$D$53*F645+F812)/F145)</f>
        <v>0</v>
      </c>
      <c r="G979" s="30">
        <f ca="1">IF(G145&lt;1,-(G311+G478+G645+G812),-(G311+G478+'3. General Model Inputs'!$D$53*G645+G812)/G145)</f>
        <v>-170.83333333333334</v>
      </c>
      <c r="H979" s="30">
        <f ca="1">IF(H145&lt;1,-(H311+H478+H645+H812),-(H311+H478+'3. General Model Inputs'!$D$53*H645+H812)/H145)</f>
        <v>-348.83298022598876</v>
      </c>
    </row>
    <row r="980" spans="2:8">
      <c r="B980" s="152">
        <f t="shared" si="32"/>
        <v>0</v>
      </c>
      <c r="D980" s="30">
        <f ca="1">IF(D146&lt;1,-(D312+D479+D646+D813),-(D312+D479+'3. General Model Inputs'!$D$53*D646+D813)/D146)</f>
        <v>0</v>
      </c>
      <c r="E980" s="30">
        <f ca="1">IF(E146&lt;1,-(E312+E479+E646+E813),-(E312+E479+'3. General Model Inputs'!$D$53*E646+E813)/E146)</f>
        <v>0</v>
      </c>
      <c r="F980" s="30">
        <f ca="1">IF(F146&lt;1,-(F312+F479+F646+F813),-(F312+F479+'3. General Model Inputs'!$D$53*F646+F813)/F146)</f>
        <v>0</v>
      </c>
      <c r="G980" s="30">
        <f ca="1">IF(G146&lt;1,-(G312+G479+G646+G813),-(G312+G479+'3. General Model Inputs'!$D$53*G646+G813)/G146)</f>
        <v>0</v>
      </c>
      <c r="H980" s="30">
        <f ca="1">IF(H146&lt;1,-(H312+H479+H646+H813),-(H312+H479+'3. General Model Inputs'!$D$53*H646+H813)/H146)</f>
        <v>-170.83333333333334</v>
      </c>
    </row>
    <row r="981" spans="2:8">
      <c r="B981" s="152">
        <f t="shared" si="32"/>
        <v>0</v>
      </c>
      <c r="D981" s="30">
        <f ca="1">IF(D147&lt;1,-(D313+D480+D647+D814),-(D313+D480+'3. General Model Inputs'!$D$53*D647+D814)/D147)</f>
        <v>-441.10452187499988</v>
      </c>
      <c r="E981" s="30">
        <f ca="1">IF(E147&lt;1,-(E313+E480+E647+E814),-(E313+E480+'3. General Model Inputs'!$D$53*E647+E814)/E147)</f>
        <v>-904.54702915264386</v>
      </c>
      <c r="F981" s="30">
        <f ca="1">IF(F147&lt;1,-(F313+F480+F647+F814),-(F313+F480+'3. General Model Inputs'!$D$53*F647+F814)/F147)</f>
        <v>-927.16070488145999</v>
      </c>
      <c r="G981" s="30">
        <f ca="1">IF(G147&lt;1,-(G313+G480+G647+G814),-(G313+G480+'3. General Model Inputs'!$D$53*G647+G814)/G147)</f>
        <v>-950.33972250349643</v>
      </c>
      <c r="H981" s="30">
        <f ca="1">IF(H147&lt;1,-(H313+H480+H647+H814),-(H313+H480+'3. General Model Inputs'!$D$53*H647+H814)/H147)</f>
        <v>-974.09821556608381</v>
      </c>
    </row>
    <row r="982" spans="2:8">
      <c r="B982" s="152">
        <f t="shared" si="32"/>
        <v>0</v>
      </c>
      <c r="D982" s="30">
        <f ca="1">IF(D148&lt;1,-(D314+D481+D648+D815),-(D314+D481+'3. General Model Inputs'!$D$53*D648+D815)/D148)</f>
        <v>-9761.5781895833334</v>
      </c>
      <c r="E982" s="30">
        <f ca="1">IF(E148&lt;1,-(E314+E481+E648+E815),-(E314+E481+'3. General Model Inputs'!$D$53*E648+E815)/E148)</f>
        <v>-19932.646311695797</v>
      </c>
      <c r="F982" s="30">
        <f ca="1">IF(F148&lt;1,-(F314+F481+F648+F815),-(F314+F481+'3. General Model Inputs'!$D$53*F648+F815)/F148)</f>
        <v>-20430.962469488193</v>
      </c>
      <c r="G982" s="30">
        <f ca="1">IF(G148&lt;1,-(G314+G481+G648+G815),-(G314+G481+'3. General Model Inputs'!$D$53*G648+G815)/G148)</f>
        <v>-20941.736531225401</v>
      </c>
      <c r="H982" s="30">
        <f ca="1">IF(H148&lt;1,-(H314+H481+H648+H815),-(H314+H481+'3. General Model Inputs'!$D$53*H648+H815)/H148)</f>
        <v>-21465.279944506034</v>
      </c>
    </row>
    <row r="983" spans="2:8">
      <c r="B983" s="152">
        <f t="shared" si="32"/>
        <v>0</v>
      </c>
      <c r="D983" s="30">
        <f ca="1">IF(D149&lt;1,-(D315+D482+D649+D816),-(D315+D482+'3. General Model Inputs'!$D$53*D649+D816)/D149)</f>
        <v>0</v>
      </c>
      <c r="E983" s="30">
        <f ca="1">IF(E149&lt;1,-(E315+E482+E649+E816),-(E315+E482+'3. General Model Inputs'!$D$53*E649+E816)/E149)</f>
        <v>-174.736875</v>
      </c>
      <c r="F983" s="30">
        <f ca="1">IF(F149&lt;1,-(F315+F482+F649+F816),-(F315+F482+'3. General Model Inputs'!$D$53*F649+F816)/F149)</f>
        <v>-356.80381382415248</v>
      </c>
      <c r="G983" s="30">
        <f ca="1">IF(G149&lt;1,-(G315+G482+G649+G816),-(G315+G482+'3. General Model Inputs'!$D$53*G649+G816)/G149)</f>
        <v>-365.72390916975633</v>
      </c>
      <c r="H983" s="30">
        <f ca="1">IF(H149&lt;1,-(H315+H482+H649+H816),-(H315+H482+'3. General Model Inputs'!$D$53*H649+H816)/H149)</f>
        <v>-374.86700689900022</v>
      </c>
    </row>
    <row r="984" spans="2:8">
      <c r="B984" s="152">
        <f t="shared" si="32"/>
        <v>0</v>
      </c>
      <c r="D984" s="30">
        <f ca="1">IF(D150&lt;1,-(D316+D483+D650+D817),-(D316+D483+'3. General Model Inputs'!$D$53*D650+D817)/D150)</f>
        <v>-3065.5248999999999</v>
      </c>
      <c r="E984" s="30">
        <f ca="1">IF(E150&lt;1,-(E316+E483+E650+E817),-(E316+E483+'3. General Model Inputs'!$D$53*E650+E817)/E150)</f>
        <v>-6369.0313382894738</v>
      </c>
      <c r="F984" s="30">
        <f ca="1">IF(F150&lt;1,-(F316+F483+F650+F817),-(F316+F483+'3. General Model Inputs'!$D$53*F650+F817)/F150)</f>
        <v>-6528.2571217467103</v>
      </c>
      <c r="G984" s="30">
        <f ca="1">IF(G150&lt;1,-(G316+G483+G650+G817),-(G316+G483+'3. General Model Inputs'!$D$53*G650+G817)/G150)</f>
        <v>-6691.4635497903782</v>
      </c>
      <c r="H984" s="30">
        <f ca="1">IF(H150&lt;1,-(H316+H483+H650+H817),-(H316+H483+'3. General Model Inputs'!$D$53*H650+H817)/H150)</f>
        <v>-6858.7501385351379</v>
      </c>
    </row>
    <row r="985" spans="2:8">
      <c r="B985" s="152">
        <f t="shared" si="32"/>
        <v>0</v>
      </c>
      <c r="D985" s="30">
        <f ca="1">IF(D151&lt;1,-(D317+D484+D651+D818),-(D317+D484+'3. General Model Inputs'!$D$53*D651+D818)/D151)</f>
        <v>0</v>
      </c>
      <c r="E985" s="30">
        <f ca="1">IF(E151&lt;1,-(E317+E484+E651+E818),-(E317+E484+'3. General Model Inputs'!$D$53*E651+E818)/E151)</f>
        <v>-1021.5662500000001</v>
      </c>
      <c r="F985" s="30">
        <f ca="1">IF(F151&lt;1,-(F317+F484+F651+F818),-(F317+F484+'3. General Model Inputs'!$D$53*F651+F818)/F151)</f>
        <v>-2122.438300986842</v>
      </c>
      <c r="G985" s="30">
        <f ca="1">IF(G151&lt;1,-(G317+G484+G651+G818),-(G317+G484+'3. General Model Inputs'!$D$53*G651+G818)/G151)</f>
        <v>-2175.4992585115133</v>
      </c>
      <c r="H985" s="30">
        <f ca="1">IF(H151&lt;1,-(H317+H484+H651+H818),-(H317+H484+'3. General Model Inputs'!$D$53*H651+H818)/H151)</f>
        <v>-2229.8867399743012</v>
      </c>
    </row>
    <row r="986" spans="2:8">
      <c r="B986" s="152">
        <f t="shared" ref="B986:B1019" si="33">B819</f>
        <v>0</v>
      </c>
      <c r="D986" s="30">
        <f ca="1">IF(D152&lt;1,-(D318+D485+D652+D819),-(D318+D485+'3. General Model Inputs'!$D$53*D652+D819)/D152)</f>
        <v>0</v>
      </c>
      <c r="E986" s="30">
        <f ca="1">IF(E152&lt;1,-(E318+E485+E652+E819),-(E318+E485+'3. General Model Inputs'!$D$53*E652+E819)/E152)</f>
        <v>-1053948.7124999999</v>
      </c>
      <c r="F986" s="30">
        <f ca="1">IF(F152&lt;1,-(F318+F485+F652+F819),-(F318+F485+'3. General Model Inputs'!$D$53*F652+F819)/F152)</f>
        <v>0</v>
      </c>
      <c r="G986" s="30">
        <f ca="1">IF(G152&lt;1,-(G318+G485+G652+G819),-(G318+G485+'3. General Model Inputs'!$D$53*G652+G819)/G152)</f>
        <v>0</v>
      </c>
      <c r="H986" s="30">
        <f ca="1">IF(H152&lt;1,-(H318+H485+H652+H819),-(H318+H485+'3. General Model Inputs'!$D$53*H652+H819)/H152)</f>
        <v>0</v>
      </c>
    </row>
    <row r="987" spans="2:8">
      <c r="B987" s="152">
        <f t="shared" si="33"/>
        <v>0</v>
      </c>
      <c r="D987" s="30">
        <f ca="1">IF(D153&lt;1,-(D319+D486+D653+D820),-(D319+D486+'3. General Model Inputs'!$D$53*D653+D820)/D153)</f>
        <v>-3170.4195562499999</v>
      </c>
      <c r="E987" s="30">
        <f ca="1">IF(E153&lt;1,-(E319+E486+E653+E820),-(E319+E486+'3. General Model Inputs'!$D$53*E653+E820)/E153)</f>
        <v>-6586.9637885773027</v>
      </c>
      <c r="F987" s="30">
        <f ca="1">IF(F153&lt;1,-(F319+F486+F653+F820),-(F319+F486+'3. General Model Inputs'!$D$53*F653+F820)/F153)</f>
        <v>-6751.6378832917362</v>
      </c>
      <c r="G987" s="30">
        <f ca="1">IF(G153&lt;1,-(G319+G486+G653+G820),-(G319+G486+'3. General Model Inputs'!$D$53*G653+G820)/G153)</f>
        <v>-6920.4288303740286</v>
      </c>
      <c r="H987" s="30">
        <f ca="1">IF(H153&lt;1,-(H319+H486+H653+H820),-(H319+H486+'3. General Model Inputs'!$D$53*H653+H820)/H153)</f>
        <v>-7093.4395511333796</v>
      </c>
    </row>
    <row r="988" spans="2:8">
      <c r="B988" s="152">
        <f t="shared" si="33"/>
        <v>0</v>
      </c>
      <c r="D988" s="30">
        <f ca="1">IF(D154&lt;1,-(D320+D487+D654+D821),-(D320+D487+'3. General Model Inputs'!$D$53*D654+D821)/D154)</f>
        <v>0</v>
      </c>
      <c r="E988" s="30">
        <f ca="1">IF(E154&lt;1,-(E320+E487+E654+E821),-(E320+E487+'3. General Model Inputs'!$D$53*E654+E821)/E154)</f>
        <v>-24205.691212500002</v>
      </c>
      <c r="F988" s="30">
        <f ca="1">IF(F154&lt;1,-(F320+F487+F654+F821),-(F320+F487+'3. General Model Inputs'!$D$53*F654+F821)/F154)</f>
        <v>-50290.508453338814</v>
      </c>
      <c r="G988" s="30">
        <f ca="1">IF(G154&lt;1,-(G320+G487+G654+G821),-(G320+G487+'3. General Model Inputs'!$D$53*G654+G821)/G154)</f>
        <v>-51547.771164672296</v>
      </c>
      <c r="H988" s="30">
        <f ca="1">IF(H154&lt;1,-(H320+H487+H654+H821),-(H320+H487+'3. General Model Inputs'!$D$53*H654+H821)/H154)</f>
        <v>-52836.465443789093</v>
      </c>
    </row>
    <row r="989" spans="2:8">
      <c r="B989" s="152">
        <f t="shared" si="33"/>
        <v>0</v>
      </c>
      <c r="D989" s="30">
        <f ca="1">IF(D155&lt;1,-(D321+D488+D655+D822),-(D321+D488+'3. General Model Inputs'!$D$53*D655+D822)/D155)</f>
        <v>0</v>
      </c>
      <c r="E989" s="30">
        <f ca="1">IF(E155&lt;1,-(E321+E488+E655+E822),-(E321+E488+'3. General Model Inputs'!$D$53*E655+E822)/E155)</f>
        <v>0</v>
      </c>
      <c r="F989" s="30">
        <f ca="1">IF(F155&lt;1,-(F321+F488+F655+F822),-(F321+F488+'3. General Model Inputs'!$D$53*F655+F822)/F155)</f>
        <v>-965.93437500000005</v>
      </c>
      <c r="G989" s="30">
        <f ca="1">IF(G155&lt;1,-(G321+G488+G655+G822),-(G321+G488+'3. General Model Inputs'!$D$53*G655+G822)/G155)</f>
        <v>-2006.8557606907896</v>
      </c>
      <c r="H989" s="30">
        <f ca="1">IF(H155&lt;1,-(H321+H488+H655+H822),-(H321+H488+'3. General Model Inputs'!$D$53*H655+H822)/H155)</f>
        <v>-2057.0271547080588</v>
      </c>
    </row>
    <row r="990" spans="2:8">
      <c r="B990" s="152">
        <f t="shared" si="33"/>
        <v>0</v>
      </c>
      <c r="D990" s="30">
        <f ca="1">IF(D156&lt;1,-(D322+D489+D656+D823),-(D322+D489+'3. General Model Inputs'!$D$53*D656+D823)/D156)</f>
        <v>-259.33890156249998</v>
      </c>
      <c r="E990" s="30">
        <f ca="1">IF(E156&lt;1,-(E322+E489+E656+E823),-(E322+E489+'3. General Model Inputs'!$D$53*E656+E823)/E156)</f>
        <v>-528.44404656991696</v>
      </c>
      <c r="F990" s="30">
        <f ca="1">IF(F156&lt;1,-(F322+F489+F656+F823),-(F322+F489+'3. General Model Inputs'!$D$53*F656+F823)/F156)</f>
        <v>-541.65514773416487</v>
      </c>
      <c r="G990" s="30">
        <f ca="1">IF(G156&lt;1,-(G322+G489+G656+G823),-(G322+G489+'3. General Model Inputs'!$D$53*G656+G823)/G156)</f>
        <v>-555.19652642751907</v>
      </c>
      <c r="H990" s="30">
        <f ca="1">IF(H156&lt;1,-(H322+H489+H656+H823),-(H322+H489+'3. General Model Inputs'!$D$53*H656+H823)/H156)</f>
        <v>-569.07643958820699</v>
      </c>
    </row>
    <row r="991" spans="2:8">
      <c r="B991" s="152">
        <f t="shared" si="33"/>
        <v>0</v>
      </c>
      <c r="D991" s="30">
        <f ca="1">IF(D157&lt;1,-(D323+D490+D657+D824),-(D323+D490+'3. General Model Inputs'!$D$53*D657+D824)/D157)</f>
        <v>-2637.2196812499997</v>
      </c>
      <c r="E991" s="30">
        <f ca="1">IF(E157&lt;1,-(E323+E490+E657+E824),-(E323+E490+'3. General Model Inputs'!$D$53*E657+E824)/E157)</f>
        <v>-5479.1708903865137</v>
      </c>
      <c r="F991" s="30">
        <f ca="1">IF(F157&lt;1,-(F323+F490+F657+F824),-(F323+F490+'3. General Model Inputs'!$D$53*F657+F824)/F157)</f>
        <v>-5616.1501626461768</v>
      </c>
      <c r="G991" s="30">
        <f ca="1">IF(G157&lt;1,-(G323+G490+G657+G824),-(G323+G490+'3. General Model Inputs'!$D$53*G657+G824)/G157)</f>
        <v>-5756.5539167123306</v>
      </c>
      <c r="H991" s="30">
        <f ca="1">IF(H157&lt;1,-(H323+H490+H657+H824),-(H323+H490+'3. General Model Inputs'!$D$53*H657+H824)/H157)</f>
        <v>-5900.4677646301388</v>
      </c>
    </row>
    <row r="992" spans="2:8">
      <c r="B992" s="152">
        <f t="shared" si="33"/>
        <v>0</v>
      </c>
      <c r="D992" s="30">
        <f ca="1">IF(D158&lt;1,-(D324+D491+D658+D825),-(D324+D491+'3. General Model Inputs'!$D$53*D658+D825)/D158)</f>
        <v>-6855.4219124999954</v>
      </c>
      <c r="E992" s="30">
        <f ca="1">IF(E158&lt;1,-(E324+E491+E658+E825),-(E324+E491+'3. General Model Inputs'!$D$53*E658+E825)/E158)</f>
        <v>-13998.42296454978</v>
      </c>
      <c r="F992" s="30">
        <f ca="1">IF(F158&lt;1,-(F324+F491+F658+F825),-(F324+F491+'3. General Model Inputs'!$D$53*F658+F825)/F158)</f>
        <v>-14348.383538663524</v>
      </c>
      <c r="G992" s="30">
        <f ca="1">IF(G158&lt;1,-(G324+G491+G658+G825),-(G324+G491+'3. General Model Inputs'!$D$53*G658+G825)/G158)</f>
        <v>-14707.093127130112</v>
      </c>
      <c r="H992" s="30">
        <f ca="1">IF(H158&lt;1,-(H324+H491+H658+H825),-(H324+H491+'3. General Model Inputs'!$D$53*H658+H825)/H158)</f>
        <v>-15074.770455308366</v>
      </c>
    </row>
    <row r="993" spans="2:8">
      <c r="B993" s="152">
        <f t="shared" si="33"/>
        <v>0</v>
      </c>
      <c r="D993" s="30">
        <f ca="1">IF(D159&lt;1,-(D325+D492+D659+D826),-(D325+D492+'3. General Model Inputs'!$D$53*D659+D826)/D159)</f>
        <v>0</v>
      </c>
      <c r="E993" s="30">
        <f ca="1">IF(E159&lt;1,-(E325+E492+E659+E826),-(E325+E492+'3. General Model Inputs'!$D$53*E659+E826)/E159)</f>
        <v>-10306.295220833332</v>
      </c>
      <c r="F993" s="30">
        <f ca="1">IF(F159&lt;1,-(F325+F492+F659+F826),-(F325+F492+'3. General Model Inputs'!$D$53*F659+F826)/F159)</f>
        <v>-21044.930792032133</v>
      </c>
      <c r="G993" s="30">
        <f ca="1">IF(G159&lt;1,-(G325+G492+G659+G826),-(G325+G492+'3. General Model Inputs'!$D$53*G659+G826)/G159)</f>
        <v>-21571.05406183294</v>
      </c>
      <c r="H993" s="30">
        <f ca="1">IF(H159&lt;1,-(H325+H492+H659+H826),-(H325+H492+'3. General Model Inputs'!$D$53*H659+H826)/H159)</f>
        <v>-22110.330413378764</v>
      </c>
    </row>
    <row r="994" spans="2:8">
      <c r="B994" s="152">
        <f t="shared" si="33"/>
        <v>0</v>
      </c>
      <c r="D994" s="30">
        <f ca="1">IF(D160&lt;1,-(D326+D493+D660+D827),-(D326+D493+'3. General Model Inputs'!$D$53*D660+D827)/D160)</f>
        <v>0</v>
      </c>
      <c r="E994" s="30">
        <f ca="1">IF(E160&lt;1,-(E326+E493+E660+E827),-(E326+E493+'3. General Model Inputs'!$D$53*E660+E827)/E160)</f>
        <v>0</v>
      </c>
      <c r="F994" s="30">
        <f ca="1">IF(F160&lt;1,-(F326+F493+F660+F827),-(F326+F493+'3. General Model Inputs'!$D$53*F660+F827)/F160)</f>
        <v>-5278.0154166666662</v>
      </c>
      <c r="G994" s="30">
        <f ca="1">IF(G160&lt;1,-(G326+G493+G660+G827),-(G326+G493+'3. General Model Inputs'!$D$53*G660+G827)/G160)</f>
        <v>-10777.439107168078</v>
      </c>
      <c r="H994" s="30">
        <f ca="1">IF(H160&lt;1,-(H326+H493+H660+H827),-(H326+H493+'3. General Model Inputs'!$D$53*H660+H827)/H160)</f>
        <v>-11046.875084847281</v>
      </c>
    </row>
    <row r="995" spans="2:8">
      <c r="B995" s="152">
        <f t="shared" si="33"/>
        <v>0</v>
      </c>
      <c r="D995" s="30">
        <f ca="1">IF(D161&lt;1,-(D327+D494+D661+D828),-(D327+D494+'3. General Model Inputs'!$D$53*D661+D828)/D161)</f>
        <v>-89.735845833333329</v>
      </c>
      <c r="E995" s="30">
        <f ca="1">IF(E161&lt;1,-(E327+E494+E661+E828),-(E327+E494+'3. General Model Inputs'!$D$53*E661+E828)/E161)</f>
        <v>-183.23603435204799</v>
      </c>
      <c r="F995" s="30">
        <f ca="1">IF(F161&lt;1,-(F327+F494+F661+F828),-(F327+F494+'3. General Model Inputs'!$D$53*F661+F828)/F161)</f>
        <v>-187.81693521084921</v>
      </c>
      <c r="G995" s="30">
        <f ca="1">IF(G161&lt;1,-(G327+G494+G661+G828),-(G327+G494+'3. General Model Inputs'!$D$53*G661+G828)/G161)</f>
        <v>-192.51235859112046</v>
      </c>
      <c r="H995" s="30">
        <f ca="1">IF(H161&lt;1,-(H327+H494+H661+H828),-(H327+H494+'3. General Model Inputs'!$D$53*H661+H828)/H161)</f>
        <v>-197.32516755589845</v>
      </c>
    </row>
    <row r="996" spans="2:8">
      <c r="B996" s="152">
        <f t="shared" si="33"/>
        <v>0</v>
      </c>
      <c r="D996" s="30">
        <f ca="1">IF(D162&lt;1,-(D328+D495+D662+D829),-(D328+D495+'3. General Model Inputs'!$D$53*D662+D829)/D162)</f>
        <v>0</v>
      </c>
      <c r="E996" s="30">
        <f ca="1">IF(E162&lt;1,-(E328+E495+E662+E829),-(E328+E495+'3. General Model Inputs'!$D$53*E662+E829)/E162)</f>
        <v>-1925.4710416666667</v>
      </c>
      <c r="F996" s="30">
        <f ca="1">IF(F162&lt;1,-(F328+F495+F662+F829),-(F328+F495+'3. General Model Inputs'!$D$53*F662+F829)/F162)</f>
        <v>-3931.7139617761304</v>
      </c>
      <c r="G996" s="30">
        <f ca="1">IF(G162&lt;1,-(G328+G495+G662+G829),-(G328+G495+'3. General Model Inputs'!$D$53*G662+G829)/G162)</f>
        <v>-4030.0068108205337</v>
      </c>
      <c r="H996" s="30">
        <f ca="1">IF(H162&lt;1,-(H328+H495+H662+H829),-(H328+H495+'3. General Model Inputs'!$D$53*H662+H829)/H162)</f>
        <v>-4130.7569810910472</v>
      </c>
    </row>
    <row r="997" spans="2:8">
      <c r="B997" s="152">
        <f t="shared" si="33"/>
        <v>0</v>
      </c>
      <c r="D997" s="30">
        <f ca="1">IF(D163&lt;1,-(D329+D496+D663+D830),-(D329+D496+'3. General Model Inputs'!$D$53*D663+D830)/D163)</f>
        <v>0</v>
      </c>
      <c r="E997" s="30">
        <f ca="1">IF(E163&lt;1,-(E329+E496+E663+E830),-(E329+E496+'3. General Model Inputs'!$D$53*E663+E830)/E163)</f>
        <v>-3634.0997671874998</v>
      </c>
      <c r="F997" s="30">
        <f ca="1">IF(F163&lt;1,-(F329+F496+F663+F830),-(F329+F496+'3. General Model Inputs'!$D$53*F663+F830)/F163)</f>
        <v>-7405.0532914304786</v>
      </c>
      <c r="G997" s="30">
        <f ca="1">IF(G163&lt;1,-(G329+G496+G663+G830),-(G329+G496+'3. General Model Inputs'!$D$53*G663+G830)/G163)</f>
        <v>-7590.1796237162407</v>
      </c>
      <c r="H997" s="30">
        <f ca="1">IF(H163&lt;1,-(H329+H496+H663+H830),-(H329+H496+'3. General Model Inputs'!$D$53*H663+H830)/H163)</f>
        <v>-7779.934114309146</v>
      </c>
    </row>
    <row r="998" spans="2:8">
      <c r="B998" s="152">
        <f t="shared" si="33"/>
        <v>0</v>
      </c>
      <c r="D998" s="30">
        <f ca="1">IF(D164&lt;1,-(D330+D497+D664+D831),-(D330+D497+'3. General Model Inputs'!$D$53*D664+D831)/D164)</f>
        <v>0</v>
      </c>
      <c r="E998" s="30">
        <f ca="1">IF(E164&lt;1,-(E330+E497+E664+E831),-(E330+E497+'3. General Model Inputs'!$D$53*E664+E831)/E164)</f>
        <v>0</v>
      </c>
      <c r="F998" s="30">
        <f ca="1">IF(F164&lt;1,-(F330+F497+F664+F831),-(F330+F497+'3. General Model Inputs'!$D$53*F664+F831)/F164)</f>
        <v>-34054.567968750001</v>
      </c>
      <c r="G998" s="30">
        <f ca="1">IF(G164&lt;1,-(G330+G497+G664+G831),-(G330+G497+'3. General Model Inputs'!$D$53*G664+G831)/G164)</f>
        <v>-69391.570617335834</v>
      </c>
      <c r="H998" s="30">
        <f ca="1">IF(H164&lt;1,-(H330+H497+H664+H831),-(H330+H497+'3. General Model Inputs'!$D$53*H664+H831)/H164)</f>
        <v>-71126.359882769233</v>
      </c>
    </row>
    <row r="999" spans="2:8">
      <c r="B999" s="152">
        <f t="shared" si="33"/>
        <v>0</v>
      </c>
      <c r="D999" s="30">
        <f ca="1">IF(D165&lt;1,-(D331+D498+D665+D832),-(D331+D498+'3. General Model Inputs'!$D$53*D665+D832)/D165)</f>
        <v>0</v>
      </c>
      <c r="E999" s="30">
        <f ca="1">IF(E165&lt;1,-(E331+E498+E665+E832),-(E331+E498+'3. General Model Inputs'!$D$53*E665+E832)/E165)</f>
        <v>0</v>
      </c>
      <c r="F999" s="30">
        <f ca="1">IF(F165&lt;1,-(F331+F498+F665+F832),-(F331+F498+'3. General Model Inputs'!$D$53*F665+F832)/F165)</f>
        <v>0</v>
      </c>
      <c r="G999" s="30">
        <f ca="1">IF(G165&lt;1,-(G331+G498+G665+G832),-(G331+G498+'3. General Model Inputs'!$D$53*G665+G832)/G165)</f>
        <v>-82036.67578125</v>
      </c>
      <c r="H999" s="30">
        <f ca="1">IF(H165&lt;1,-(H331+H498+H665+H832),-(H331+H498+'3. General Model Inputs'!$D$53*H665+H832)/H165)</f>
        <v>-167162.70739097113</v>
      </c>
    </row>
    <row r="1000" spans="2:8">
      <c r="B1000" s="152">
        <f t="shared" si="33"/>
        <v>0</v>
      </c>
      <c r="D1000" s="30">
        <f ca="1">IF(D166&lt;1,-(D332+D499+D666+D833),-(D332+D499+'3. General Model Inputs'!$D$53*D666+D833)/D166)</f>
        <v>0</v>
      </c>
      <c r="E1000" s="30">
        <f ca="1">IF(E166&lt;1,-(E332+E499+E666+E833),-(E332+E499+'3. General Model Inputs'!$D$53*E666+E833)/E166)</f>
        <v>-3459.375</v>
      </c>
      <c r="F1000" s="30">
        <f ca="1">IF(F166&lt;1,-(F332+F499+F666+F833),-(F332+F499+'3. General Model Inputs'!$D$53*F666+F833)/F166)</f>
        <v>-7389.609375</v>
      </c>
      <c r="G1000" s="30">
        <f ca="1">IF(G166&lt;1,-(G332+G499+G666+G833),-(G332+G499+'3. General Model Inputs'!$D$53*G666+G833)/G166)</f>
        <v>-7574.349609375</v>
      </c>
      <c r="H1000" s="30">
        <f ca="1">IF(H166&lt;1,-(H332+H499+H666+H833),-(H332+H499+'3. General Model Inputs'!$D$53*H666+H833)/H166)</f>
        <v>-7763.7083496093755</v>
      </c>
    </row>
    <row r="1001" spans="2:8">
      <c r="B1001" s="152">
        <f t="shared" si="33"/>
        <v>0</v>
      </c>
      <c r="D1001" s="30">
        <f ca="1">IF(D167&lt;1,-(D333+D500+D667+D834),-(D333+D500+'3. General Model Inputs'!$D$53*D667+D834)/D167)</f>
        <v>0</v>
      </c>
      <c r="E1001" s="30">
        <f ca="1">IF(E167&lt;1,-(E333+E500+E667+E834),-(E333+E500+'3. General Model Inputs'!$D$53*E667+E834)/E167)</f>
        <v>-9716.1351562500004</v>
      </c>
      <c r="F1001" s="30">
        <f ca="1">IF(F167&lt;1,-(F333+F500+F667+F834),-(F333+F500+'3. General Model Inputs'!$D$53*F667+F834)/F167)</f>
        <v>-19924.305362079329</v>
      </c>
      <c r="G1001" s="30">
        <f ca="1">IF(G167&lt;1,-(G333+G500+G667+G834),-(G333+G500+'3. General Model Inputs'!$D$53*G667+G834)/G167)</f>
        <v>-20422.412996131316</v>
      </c>
      <c r="H1001" s="30">
        <f ca="1">IF(H167&lt;1,-(H333+H500+H667+H834),-(H333+H500+'3. General Model Inputs'!$D$53*H667+H834)/H167)</f>
        <v>-20932.973321034595</v>
      </c>
    </row>
    <row r="1002" spans="2:8">
      <c r="B1002" s="152" t="str">
        <f t="shared" si="33"/>
        <v>Carndo Year 4 Reduction</v>
      </c>
      <c r="D1002" s="30">
        <f ca="1">IF(D168&lt;1,-(D334+D501+D668+D835),-(D334+D501+'3. General Model Inputs'!$D$53*D668+D835)/D168)</f>
        <v>0</v>
      </c>
      <c r="E1002" s="30">
        <f ca="1">IF(E168&lt;1,-(E334+E501+E668+E835),-(E334+E501+'3. General Model Inputs'!$D$53*E668+E835)/E168)</f>
        <v>0</v>
      </c>
      <c r="F1002" s="30">
        <f ca="1">IF(F168&lt;1,-(F334+F501+F668+F835),-(F334+F501+'3. General Model Inputs'!$D$53*F668+F835)/F168)</f>
        <v>0</v>
      </c>
      <c r="G1002" s="30">
        <f ca="1">IF(G168&lt;1,-(G334+G501+G668+G835),-(G334+G501+'3. General Model Inputs'!$D$53*G668+G835)/G168)</f>
        <v>126162.63026605691</v>
      </c>
      <c r="H1002" s="30">
        <f ca="1">IF(H168&lt;1,-(H334+H501+H668+H835),-(H334+H501+'3. General Model Inputs'!$D$53*H668+H835)/H168)</f>
        <v>259526.97764094846</v>
      </c>
    </row>
    <row r="1003" spans="2:8">
      <c r="B1003" s="152" t="str">
        <f t="shared" si="33"/>
        <v>Carndo Year 5 Reduction</v>
      </c>
      <c r="D1003" s="30">
        <f ca="1">IF(D169&lt;1,-(D335+D502+D669+D836),-(D335+D502+'3. General Model Inputs'!$D$53*D669+D836)/D169)</f>
        <v>0</v>
      </c>
      <c r="E1003" s="30">
        <f ca="1">IF(E169&lt;1,-(E335+E502+E669+E836),-(E335+E502+'3. General Model Inputs'!$D$53*E669+E836)/E169)</f>
        <v>0</v>
      </c>
      <c r="F1003" s="30">
        <f ca="1">IF(F169&lt;1,-(F335+F502+F669+F836),-(F335+F502+'3. General Model Inputs'!$D$53*F669+F836)/F169)</f>
        <v>0</v>
      </c>
      <c r="G1003" s="30">
        <f ca="1">IF(G169&lt;1,-(G335+G502+G669+G836),-(G335+G502+'3. General Model Inputs'!$D$53*G669+G836)/G169)</f>
        <v>0</v>
      </c>
      <c r="H1003" s="30">
        <f ca="1">IF(H169&lt;1,-(H335+H502+H669+H836),-(H335+H502+'3. General Model Inputs'!$D$53*H669+H836)/H169)</f>
        <v>99502.919340521228</v>
      </c>
    </row>
    <row r="1004" spans="2:8">
      <c r="B1004" s="152">
        <f t="shared" si="33"/>
        <v>0</v>
      </c>
      <c r="D1004" s="30">
        <f ca="1">IF(D170&lt;1,-(D336+D503+D670+D837),-(D336+D503+'3. General Model Inputs'!$D$53*D670+D837)/D170)</f>
        <v>0</v>
      </c>
      <c r="E1004" s="30">
        <f ca="1">IF(E170&lt;1,-(E336+E503+E670+E837),-(E336+E503+'3. General Model Inputs'!$D$53*E670+E837)/E170)</f>
        <v>0</v>
      </c>
      <c r="F1004" s="30">
        <f ca="1">IF(F170&lt;1,-(F336+F503+F670+F837),-(F336+F503+'3. General Model Inputs'!$D$53*F670+F837)/F170)</f>
        <v>0</v>
      </c>
      <c r="G1004" s="30">
        <f ca="1">IF(G170&lt;1,-(G336+G503+G670+G837),-(G336+G503+'3. General Model Inputs'!$D$53*G670+G837)/G170)</f>
        <v>0</v>
      </c>
      <c r="H1004" s="30">
        <f ca="1">IF(H170&lt;1,-(H336+H503+H670+H837),-(H336+H503+'3. General Model Inputs'!$D$53*H670+H837)/H170)</f>
        <v>0</v>
      </c>
    </row>
    <row r="1005" spans="2:8">
      <c r="B1005" s="152">
        <f t="shared" si="33"/>
        <v>0</v>
      </c>
      <c r="D1005" s="30">
        <f ca="1">IF(D171&lt;1,-(D337+D504+D671+D838),-(D337+D504+'3. General Model Inputs'!$D$53*D671+D838)/D171)</f>
        <v>0</v>
      </c>
      <c r="E1005" s="30">
        <f ca="1">IF(E171&lt;1,-(E337+E504+E671+E838),-(E337+E504+'3. General Model Inputs'!$D$53*E671+E838)/E171)</f>
        <v>0</v>
      </c>
      <c r="F1005" s="30">
        <f ca="1">IF(F171&lt;1,-(F337+F504+F671+F838),-(F337+F504+'3. General Model Inputs'!$D$53*F671+F838)/F171)</f>
        <v>0</v>
      </c>
      <c r="G1005" s="30">
        <f ca="1">IF(G171&lt;1,-(G337+G504+G671+G838),-(G337+G504+'3. General Model Inputs'!$D$53*G671+G838)/G171)</f>
        <v>0</v>
      </c>
      <c r="H1005" s="30">
        <f ca="1">IF(H171&lt;1,-(H337+H504+H671+H838),-(H337+H504+'3. General Model Inputs'!$D$53*H671+H838)/H171)</f>
        <v>0</v>
      </c>
    </row>
    <row r="1006" spans="2:8">
      <c r="B1006" s="152">
        <f t="shared" si="33"/>
        <v>0</v>
      </c>
      <c r="D1006" s="30">
        <f ca="1">IF(D172&lt;1,-(D338+D505+D672+D839),-(D338+D505+'3. General Model Inputs'!$D$53*D672+D839)/D172)</f>
        <v>0</v>
      </c>
      <c r="E1006" s="30">
        <f ca="1">IF(E172&lt;1,-(E338+E505+E672+E839),-(E338+E505+'3. General Model Inputs'!$D$53*E672+E839)/E172)</f>
        <v>0</v>
      </c>
      <c r="F1006" s="30">
        <f ca="1">IF(F172&lt;1,-(F338+F505+F672+F839),-(F338+F505+'3. General Model Inputs'!$D$53*F672+F839)/F172)</f>
        <v>0</v>
      </c>
      <c r="G1006" s="30">
        <f ca="1">IF(G172&lt;1,-(G338+G505+G672+G839),-(G338+G505+'3. General Model Inputs'!$D$53*G672+G839)/G172)</f>
        <v>0</v>
      </c>
      <c r="H1006" s="30">
        <f ca="1">IF(H172&lt;1,-(H338+H505+H672+H839),-(H338+H505+'3. General Model Inputs'!$D$53*H672+H839)/H172)</f>
        <v>0</v>
      </c>
    </row>
    <row r="1007" spans="2:8">
      <c r="B1007" s="152">
        <f t="shared" si="33"/>
        <v>0</v>
      </c>
      <c r="D1007" s="30">
        <f ca="1">IF(D173&lt;1,-(D339+D506+D673+D840),-(D339+D506+'3. General Model Inputs'!$D$53*D673+D840)/D173)</f>
        <v>0</v>
      </c>
      <c r="E1007" s="30">
        <f ca="1">IF(E173&lt;1,-(E339+E506+E673+E840),-(E339+E506+'3. General Model Inputs'!$D$53*E673+E840)/E173)</f>
        <v>0</v>
      </c>
      <c r="F1007" s="30">
        <f ca="1">IF(F173&lt;1,-(F339+F506+F673+F840),-(F339+F506+'3. General Model Inputs'!$D$53*F673+F840)/F173)</f>
        <v>0</v>
      </c>
      <c r="G1007" s="30">
        <f ca="1">IF(G173&lt;1,-(G339+G506+G673+G840),-(G339+G506+'3. General Model Inputs'!$D$53*G673+G840)/G173)</f>
        <v>0</v>
      </c>
      <c r="H1007" s="30">
        <f ca="1">IF(H173&lt;1,-(H339+H506+H673+H840),-(H339+H506+'3. General Model Inputs'!$D$53*H673+H840)/H173)</f>
        <v>0</v>
      </c>
    </row>
    <row r="1008" spans="2:8">
      <c r="B1008" s="152">
        <f t="shared" si="33"/>
        <v>0</v>
      </c>
      <c r="D1008" s="30">
        <f ca="1">IF(D174&lt;1,-(D340+D507+D674+D841),-(D340+D507+'3. General Model Inputs'!$D$53*D674+D841)/D174)</f>
        <v>0</v>
      </c>
      <c r="E1008" s="30">
        <f ca="1">IF(E174&lt;1,-(E340+E507+E674+E841),-(E340+E507+'3. General Model Inputs'!$D$53*E674+E841)/E174)</f>
        <v>0</v>
      </c>
      <c r="F1008" s="30">
        <f ca="1">IF(F174&lt;1,-(F340+F507+F674+F841),-(F340+F507+'3. General Model Inputs'!$D$53*F674+F841)/F174)</f>
        <v>0</v>
      </c>
      <c r="G1008" s="30">
        <f ca="1">IF(G174&lt;1,-(G340+G507+G674+G841),-(G340+G507+'3. General Model Inputs'!$D$53*G674+G841)/G174)</f>
        <v>0</v>
      </c>
      <c r="H1008" s="30">
        <f ca="1">IF(H174&lt;1,-(H340+H507+H674+H841),-(H340+H507+'3. General Model Inputs'!$D$53*H674+H841)/H174)</f>
        <v>0</v>
      </c>
    </row>
    <row r="1009" spans="2:8">
      <c r="B1009" s="152">
        <f t="shared" si="33"/>
        <v>0</v>
      </c>
      <c r="D1009" s="30">
        <f ca="1">IF(D175&lt;1,-(D341+D508+D675+D842),-(D341+D508+'3. General Model Inputs'!$D$53*D675+D842)/D175)</f>
        <v>0</v>
      </c>
      <c r="E1009" s="30">
        <f ca="1">IF(E175&lt;1,-(E341+E508+E675+E842),-(E341+E508+'3. General Model Inputs'!$D$53*E675+E842)/E175)</f>
        <v>0</v>
      </c>
      <c r="F1009" s="30">
        <f ca="1">IF(F175&lt;1,-(F341+F508+F675+F842),-(F341+F508+'3. General Model Inputs'!$D$53*F675+F842)/F175)</f>
        <v>0</v>
      </c>
      <c r="G1009" s="30">
        <f ca="1">IF(G175&lt;1,-(G341+G508+G675+G842),-(G341+G508+'3. General Model Inputs'!$D$53*G675+G842)/G175)</f>
        <v>0</v>
      </c>
      <c r="H1009" s="30">
        <f ca="1">IF(H175&lt;1,-(H341+H508+H675+H842),-(H341+H508+'3. General Model Inputs'!$D$53*H675+H842)/H175)</f>
        <v>0</v>
      </c>
    </row>
    <row r="1010" spans="2:8">
      <c r="B1010" s="152">
        <f t="shared" si="33"/>
        <v>0</v>
      </c>
      <c r="D1010" s="30">
        <f ca="1">IF(D176&lt;1,-(D342+D509+D676+D843),-(D342+D509+'3. General Model Inputs'!$D$53*D676+D843)/D176)</f>
        <v>0</v>
      </c>
      <c r="E1010" s="30">
        <f ca="1">IF(E176&lt;1,-(E342+E509+E676+E843),-(E342+E509+'3. General Model Inputs'!$D$53*E676+E843)/E176)</f>
        <v>0</v>
      </c>
      <c r="F1010" s="30">
        <f ca="1">IF(F176&lt;1,-(F342+F509+F676+F843),-(F342+F509+'3. General Model Inputs'!$D$53*F676+F843)/F176)</f>
        <v>0</v>
      </c>
      <c r="G1010" s="30">
        <f ca="1">IF(G176&lt;1,-(G342+G509+G676+G843),-(G342+G509+'3. General Model Inputs'!$D$53*G676+G843)/G176)</f>
        <v>0</v>
      </c>
      <c r="H1010" s="30">
        <f ca="1">IF(H176&lt;1,-(H342+H509+H676+H843),-(H342+H509+'3. General Model Inputs'!$D$53*H676+H843)/H176)</f>
        <v>0</v>
      </c>
    </row>
    <row r="1011" spans="2:8">
      <c r="B1011" s="152">
        <f t="shared" si="33"/>
        <v>0</v>
      </c>
      <c r="D1011" s="30">
        <f ca="1">IF(D177&lt;1,-(D343+D510+D677+D844),-(D343+D510+'3. General Model Inputs'!$D$53*D677+D844)/D177)</f>
        <v>0</v>
      </c>
      <c r="E1011" s="30">
        <f ca="1">IF(E177&lt;1,-(E343+E510+E677+E844),-(E343+E510+'3. General Model Inputs'!$D$53*E677+E844)/E177)</f>
        <v>0</v>
      </c>
      <c r="F1011" s="30">
        <f ca="1">IF(F177&lt;1,-(F343+F510+F677+F844),-(F343+F510+'3. General Model Inputs'!$D$53*F677+F844)/F177)</f>
        <v>0</v>
      </c>
      <c r="G1011" s="30">
        <f ca="1">IF(G177&lt;1,-(G343+G510+G677+G844),-(G343+G510+'3. General Model Inputs'!$D$53*G677+G844)/G177)</f>
        <v>0</v>
      </c>
      <c r="H1011" s="30">
        <f ca="1">IF(H177&lt;1,-(H343+H510+H677+H844),-(H343+H510+'3. General Model Inputs'!$D$53*H677+H844)/H177)</f>
        <v>0</v>
      </c>
    </row>
    <row r="1012" spans="2:8">
      <c r="B1012" s="152">
        <f t="shared" si="33"/>
        <v>0</v>
      </c>
      <c r="D1012" s="30">
        <f ca="1">IF(D178&lt;1,-(D344+D511+D678+D845),-(D344+D511+'3. General Model Inputs'!$D$53*D678+D845)/D178)</f>
        <v>0</v>
      </c>
      <c r="E1012" s="30">
        <f ca="1">IF(E178&lt;1,-(E344+E511+E678+E845),-(E344+E511+'3. General Model Inputs'!$D$53*E678+E845)/E178)</f>
        <v>0</v>
      </c>
      <c r="F1012" s="30">
        <f ca="1">IF(F178&lt;1,-(F344+F511+F678+F845),-(F344+F511+'3. General Model Inputs'!$D$53*F678+F845)/F178)</f>
        <v>0</v>
      </c>
      <c r="G1012" s="30">
        <f ca="1">IF(G178&lt;1,-(G344+G511+G678+G845),-(G344+G511+'3. General Model Inputs'!$D$53*G678+G845)/G178)</f>
        <v>0</v>
      </c>
      <c r="H1012" s="30">
        <f ca="1">IF(H178&lt;1,-(H344+H511+H678+H845),-(H344+H511+'3. General Model Inputs'!$D$53*H678+H845)/H178)</f>
        <v>0</v>
      </c>
    </row>
    <row r="1013" spans="2:8">
      <c r="B1013" s="152">
        <f t="shared" si="33"/>
        <v>0</v>
      </c>
      <c r="D1013" s="30">
        <f ca="1">IF(D179&lt;1,-(D345+D512+D679+D846),-(D345+D512+'3. General Model Inputs'!$D$53*D679+D846)/D179)</f>
        <v>0</v>
      </c>
      <c r="E1013" s="30">
        <f ca="1">IF(E179&lt;1,-(E345+E512+E679+E846),-(E345+E512+'3. General Model Inputs'!$D$53*E679+E846)/E179)</f>
        <v>0</v>
      </c>
      <c r="F1013" s="30">
        <f ca="1">IF(F179&lt;1,-(F345+F512+F679+F846),-(F345+F512+'3. General Model Inputs'!$D$53*F679+F846)/F179)</f>
        <v>0</v>
      </c>
      <c r="G1013" s="30">
        <f ca="1">IF(G179&lt;1,-(G345+G512+G679+G846),-(G345+G512+'3. General Model Inputs'!$D$53*G679+G846)/G179)</f>
        <v>0</v>
      </c>
      <c r="H1013" s="30">
        <f ca="1">IF(H179&lt;1,-(H345+H512+H679+H846),-(H345+H512+'3. General Model Inputs'!$D$53*H679+H846)/H179)</f>
        <v>0</v>
      </c>
    </row>
    <row r="1014" spans="2:8">
      <c r="B1014" s="152">
        <f t="shared" si="33"/>
        <v>0</v>
      </c>
      <c r="D1014" s="30">
        <f ca="1">IF(D180&lt;1,-(D346+D513+D680+D847),-(D346+D513+'3. General Model Inputs'!$D$53*D680+D847)/D180)</f>
        <v>0</v>
      </c>
      <c r="E1014" s="30">
        <f ca="1">IF(E180&lt;1,-(E346+E513+E680+E847),-(E346+E513+'3. General Model Inputs'!$D$53*E680+E847)/E180)</f>
        <v>0</v>
      </c>
      <c r="F1014" s="30">
        <f ca="1">IF(F180&lt;1,-(F346+F513+F680+F847),-(F346+F513+'3. General Model Inputs'!$D$53*F680+F847)/F180)</f>
        <v>0</v>
      </c>
      <c r="G1014" s="30">
        <f ca="1">IF(G180&lt;1,-(G346+G513+G680+G847),-(G346+G513+'3. General Model Inputs'!$D$53*G680+G847)/G180)</f>
        <v>0</v>
      </c>
      <c r="H1014" s="30">
        <f ca="1">IF(H180&lt;1,-(H346+H513+H680+H847),-(H346+H513+'3. General Model Inputs'!$D$53*H680+H847)/H180)</f>
        <v>0</v>
      </c>
    </row>
    <row r="1015" spans="2:8">
      <c r="B1015" s="152">
        <f t="shared" si="33"/>
        <v>0</v>
      </c>
      <c r="D1015" s="30">
        <f ca="1">IF(D181&lt;1,-(D347+D514+D681+D848),-(D347+D514+'3. General Model Inputs'!$D$53*D681+D848)/D181)</f>
        <v>0</v>
      </c>
      <c r="E1015" s="30">
        <f ca="1">IF(E181&lt;1,-(E347+E514+E681+E848),-(E347+E514+'3. General Model Inputs'!$D$53*E681+E848)/E181)</f>
        <v>0</v>
      </c>
      <c r="F1015" s="30">
        <f ca="1">IF(F181&lt;1,-(F347+F514+F681+F848),-(F347+F514+'3. General Model Inputs'!$D$53*F681+F848)/F181)</f>
        <v>0</v>
      </c>
      <c r="G1015" s="30">
        <f ca="1">IF(G181&lt;1,-(G347+G514+G681+G848),-(G347+G514+'3. General Model Inputs'!$D$53*G681+G848)/G181)</f>
        <v>0</v>
      </c>
      <c r="H1015" s="30">
        <f ca="1">IF(H181&lt;1,-(H347+H514+H681+H848),-(H347+H514+'3. General Model Inputs'!$D$53*H681+H848)/H181)</f>
        <v>0</v>
      </c>
    </row>
    <row r="1016" spans="2:8">
      <c r="B1016" s="152">
        <f t="shared" si="33"/>
        <v>0</v>
      </c>
      <c r="D1016" s="30">
        <f ca="1">IF(D182&lt;1,-(D348+D515+D682+D849),-(D348+D515+'3. General Model Inputs'!$D$53*D682+D849)/D182)</f>
        <v>0</v>
      </c>
      <c r="E1016" s="30">
        <f ca="1">IF(E182&lt;1,-(E348+E515+E682+E849),-(E348+E515+'3. General Model Inputs'!$D$53*E682+E849)/E182)</f>
        <v>0</v>
      </c>
      <c r="F1016" s="30">
        <f ca="1">IF(F182&lt;1,-(F348+F515+F682+F849),-(F348+F515+'3. General Model Inputs'!$D$53*F682+F849)/F182)</f>
        <v>0</v>
      </c>
      <c r="G1016" s="30">
        <f ca="1">IF(G182&lt;1,-(G348+G515+G682+G849),-(G348+G515+'3. General Model Inputs'!$D$53*G682+G849)/G182)</f>
        <v>0</v>
      </c>
      <c r="H1016" s="30">
        <f ca="1">IF(H182&lt;1,-(H348+H515+H682+H849),-(H348+H515+'3. General Model Inputs'!$D$53*H682+H849)/H182)</f>
        <v>0</v>
      </c>
    </row>
    <row r="1017" spans="2:8">
      <c r="B1017" s="152">
        <f t="shared" si="33"/>
        <v>0</v>
      </c>
      <c r="D1017" s="30">
        <f ca="1">IF(D183&lt;1,-(D349+D516+D683+D850),-(D349+D516+'3. General Model Inputs'!$D$53*D683+D850)/D183)</f>
        <v>0</v>
      </c>
      <c r="E1017" s="30">
        <f ca="1">IF(E183&lt;1,-(E349+E516+E683+E850),-(E349+E516+'3. General Model Inputs'!$D$53*E683+E850)/E183)</f>
        <v>0</v>
      </c>
      <c r="F1017" s="30">
        <f ca="1">IF(F183&lt;1,-(F349+F516+F683+F850),-(F349+F516+'3. General Model Inputs'!$D$53*F683+F850)/F183)</f>
        <v>0</v>
      </c>
      <c r="G1017" s="30">
        <f ca="1">IF(G183&lt;1,-(G349+G516+G683+G850),-(G349+G516+'3. General Model Inputs'!$D$53*G683+G850)/G183)</f>
        <v>0</v>
      </c>
      <c r="H1017" s="30">
        <f ca="1">IF(H183&lt;1,-(H349+H516+H683+H850),-(H349+H516+'3. General Model Inputs'!$D$53*H683+H850)/H183)</f>
        <v>0</v>
      </c>
    </row>
    <row r="1018" spans="2:8">
      <c r="B1018" s="152">
        <f t="shared" si="33"/>
        <v>0</v>
      </c>
      <c r="D1018" s="30">
        <f ca="1">IF(D184&lt;1,-(D350+D517+D684+D851),-(D350+D517+'3. General Model Inputs'!$D$53*D684+D851)/D184)</f>
        <v>0</v>
      </c>
      <c r="E1018" s="30">
        <f ca="1">IF(E184&lt;1,-(E350+E517+E684+E851),-(E350+E517+'3. General Model Inputs'!$D$53*E684+E851)/E184)</f>
        <v>0</v>
      </c>
      <c r="F1018" s="30">
        <f ca="1">IF(F184&lt;1,-(F350+F517+F684+F851),-(F350+F517+'3. General Model Inputs'!$D$53*F684+F851)/F184)</f>
        <v>0</v>
      </c>
      <c r="G1018" s="30">
        <f ca="1">IF(G184&lt;1,-(G350+G517+G684+G851),-(G350+G517+'3. General Model Inputs'!$D$53*G684+G851)/G184)</f>
        <v>0</v>
      </c>
      <c r="H1018" s="30">
        <f ca="1">IF(H184&lt;1,-(H350+H517+H684+H851),-(H350+H517+'3. General Model Inputs'!$D$53*H684+H851)/H184)</f>
        <v>0</v>
      </c>
    </row>
    <row r="1019" spans="2:8">
      <c r="B1019" s="152">
        <f t="shared" si="33"/>
        <v>0</v>
      </c>
      <c r="D1019" s="30">
        <f ca="1">IF(D185&lt;1,-(D351+D518+D685+D852),-(D351+D518+'3. General Model Inputs'!$D$53*D685+D852)/D185)</f>
        <v>0</v>
      </c>
      <c r="E1019" s="30">
        <f ca="1">IF(E185&lt;1,-(E351+E518+E685+E852),-(E351+E518+'3. General Model Inputs'!$D$53*E685+E852)/E185)</f>
        <v>0</v>
      </c>
      <c r="F1019" s="30">
        <f ca="1">IF(F185&lt;1,-(F351+F518+F685+F852),-(F351+F518+'3. General Model Inputs'!$D$53*F685+F852)/F185)</f>
        <v>0</v>
      </c>
      <c r="G1019" s="30">
        <f ca="1">IF(G185&lt;1,-(G351+G518+G685+G852),-(G351+G518+'3. General Model Inputs'!$D$53*G685+G852)/G185)</f>
        <v>0</v>
      </c>
      <c r="H1019" s="30">
        <f ca="1">IF(H185&lt;1,-(H351+H518+H685+H852),-(H351+H518+'3. General Model Inputs'!$D$53*H685+H852)/H185)</f>
        <v>0</v>
      </c>
    </row>
    <row r="1020" spans="2:8">
      <c r="B1020" s="152">
        <f>B853</f>
        <v>0</v>
      </c>
      <c r="D1020" s="30">
        <f ca="1">IF(D186&lt;1,-(D352+D519+D686+D853),-(D352+D519+'3. General Model Inputs'!$D$53*D686+D853)/D186)</f>
        <v>0</v>
      </c>
      <c r="E1020" s="30">
        <f ca="1">IF(E186&lt;1,-(E352+E519+E686+E853),-(E352+E519+'3. General Model Inputs'!$D$53*E686+E853)/E186)</f>
        <v>0</v>
      </c>
      <c r="F1020" s="30">
        <f ca="1">IF(F186&lt;1,-(F352+F519+F686+F853),-(F352+F519+'3. General Model Inputs'!$D$53*F686+F853)/F186)</f>
        <v>0</v>
      </c>
      <c r="G1020" s="30">
        <f ca="1">IF(G186&lt;1,-(G352+G519+G686+G853),-(G352+G519+'3. General Model Inputs'!$D$53*G686+G853)/G186)</f>
        <v>0</v>
      </c>
      <c r="H1020" s="30">
        <f ca="1">IF(H186&lt;1,-(H352+H519+H686+H853),-(H352+H519+'3. General Model Inputs'!$D$53*H686+H853)/H186)</f>
        <v>0</v>
      </c>
    </row>
    <row r="1021" spans="2:8">
      <c r="B1021" s="152" t="s">
        <v>54</v>
      </c>
      <c r="D1021" s="48">
        <f ca="1">SUM(D857:D1020)</f>
        <v>-334537.5327046875</v>
      </c>
      <c r="E1021" s="48">
        <f ca="1">SUM(E857:E1020)</f>
        <v>-2413496.7621586686</v>
      </c>
      <c r="F1021" s="48">
        <f ca="1">SUM(F857:F1020)</f>
        <v>-3097381.4728196645</v>
      </c>
      <c r="G1021" s="48">
        <f ca="1">SUM(G857:G1020)</f>
        <v>-5863092.2656049989</v>
      </c>
      <c r="H1021" s="48">
        <f ca="1">SUM(H857:H1020)</f>
        <v>-8939492.2585591599</v>
      </c>
    </row>
    <row r="1022" spans="2:8">
      <c r="B1022" s="152"/>
      <c r="D1022" s="30"/>
      <c r="E1022" s="30"/>
      <c r="F1022" s="30"/>
      <c r="G1022" s="30"/>
      <c r="H1022" s="30"/>
    </row>
    <row r="1023" spans="2:8" ht="15.75">
      <c r="B1023" s="151" t="s">
        <v>14</v>
      </c>
      <c r="D1023" s="30"/>
      <c r="E1023" s="30"/>
      <c r="F1023" s="30"/>
      <c r="G1023" s="30"/>
      <c r="H1023" s="30"/>
    </row>
    <row r="1024" spans="2:8">
      <c r="B1024" s="152">
        <f>B857</f>
        <v>0</v>
      </c>
      <c r="D1024" s="30">
        <f t="shared" ref="D1024:H1025" ca="1" si="34">D189+D356+D690+D857+D523</f>
        <v>166196.53250729165</v>
      </c>
      <c r="E1024" s="30">
        <f t="shared" ca="1" si="34"/>
        <v>167464.13317895745</v>
      </c>
      <c r="F1024" s="30">
        <f t="shared" ca="1" si="34"/>
        <v>168691.24105138946</v>
      </c>
      <c r="G1024" s="30">
        <f t="shared" ca="1" si="34"/>
        <v>169875.03923420623</v>
      </c>
      <c r="H1024" s="30">
        <f t="shared" ca="1" si="34"/>
        <v>171012.59530050674</v>
      </c>
    </row>
    <row r="1025" spans="2:8">
      <c r="B1025" s="152">
        <f>B858</f>
        <v>0</v>
      </c>
      <c r="D1025" s="30">
        <f t="shared" ca="1" si="34"/>
        <v>0</v>
      </c>
      <c r="E1025" s="30">
        <f t="shared" ca="1" si="34"/>
        <v>511000.40996354166</v>
      </c>
      <c r="F1025" s="30">
        <f t="shared" ca="1" si="34"/>
        <v>514897.87071750086</v>
      </c>
      <c r="G1025" s="30">
        <f t="shared" ca="1" si="34"/>
        <v>518670.82925293088</v>
      </c>
      <c r="H1025" s="30">
        <f t="shared" ca="1" si="34"/>
        <v>522310.62454593385</v>
      </c>
    </row>
    <row r="1026" spans="2:8">
      <c r="B1026" s="152">
        <f t="shared" ref="B1026:B1089" si="35">B859</f>
        <v>0</v>
      </c>
      <c r="D1026" s="30">
        <f t="shared" ref="D1026:H1041" ca="1" si="36">D191+D358+D692+D859+D525</f>
        <v>0</v>
      </c>
      <c r="E1026" s="30">
        <f t="shared" ca="1" si="36"/>
        <v>0</v>
      </c>
      <c r="F1026" s="30">
        <f t="shared" ca="1" si="36"/>
        <v>105850.8409375</v>
      </c>
      <c r="G1026" s="30">
        <f t="shared" ca="1" si="36"/>
        <v>106658.17785990467</v>
      </c>
      <c r="H1026" s="30">
        <f t="shared" ca="1" si="36"/>
        <v>107439.72485284363</v>
      </c>
    </row>
    <row r="1027" spans="2:8">
      <c r="B1027" s="152">
        <f t="shared" si="35"/>
        <v>0</v>
      </c>
      <c r="D1027" s="30">
        <f t="shared" ca="1" si="36"/>
        <v>96185.36996666668</v>
      </c>
      <c r="E1027" s="30">
        <f t="shared" ca="1" si="36"/>
        <v>91547.861057559538</v>
      </c>
      <c r="F1027" s="30">
        <f t="shared" ca="1" si="36"/>
        <v>86618.360846767871</v>
      </c>
      <c r="G1027" s="30">
        <f t="shared" ca="1" si="36"/>
        <v>81385.168212275647</v>
      </c>
      <c r="H1027" s="30">
        <f t="shared" ca="1" si="36"/>
        <v>75836.179470529576</v>
      </c>
    </row>
    <row r="1028" spans="2:8">
      <c r="B1028" s="152">
        <f t="shared" si="35"/>
        <v>0</v>
      </c>
      <c r="D1028" s="30">
        <f t="shared" ca="1" si="36"/>
        <v>0</v>
      </c>
      <c r="E1028" s="30">
        <f t="shared" ca="1" si="36"/>
        <v>4137.4646083333337</v>
      </c>
      <c r="F1028" s="30">
        <f t="shared" ca="1" si="36"/>
        <v>3937.979707574405</v>
      </c>
      <c r="G1028" s="30">
        <f t="shared" ca="1" si="36"/>
        <v>3725.934646397322</v>
      </c>
      <c r="H1028" s="30">
        <f t="shared" ca="1" si="36"/>
        <v>3500.8260948441507</v>
      </c>
    </row>
    <row r="1029" spans="2:8">
      <c r="B1029" s="152">
        <f t="shared" si="35"/>
        <v>0</v>
      </c>
      <c r="D1029" s="30">
        <f t="shared" ca="1" si="36"/>
        <v>274257.52245833335</v>
      </c>
      <c r="E1029" s="30">
        <f t="shared" ca="1" si="36"/>
        <v>276349.31712115114</v>
      </c>
      <c r="F1029" s="30">
        <f t="shared" ca="1" si="36"/>
        <v>278374.29056557338</v>
      </c>
      <c r="G1029" s="30">
        <f t="shared" ca="1" si="36"/>
        <v>280327.794359016</v>
      </c>
      <c r="H1029" s="30">
        <f t="shared" ca="1" si="36"/>
        <v>282204.98941052728</v>
      </c>
    </row>
    <row r="1030" spans="2:8">
      <c r="B1030" s="152">
        <f t="shared" si="35"/>
        <v>0</v>
      </c>
      <c r="D1030" s="30">
        <f t="shared" ca="1" si="36"/>
        <v>0</v>
      </c>
      <c r="E1030" s="30">
        <f t="shared" ca="1" si="36"/>
        <v>1843421.6009111111</v>
      </c>
      <c r="F1030" s="30">
        <f t="shared" ca="1" si="36"/>
        <v>1857481.5961722976</v>
      </c>
      <c r="G1030" s="30">
        <f t="shared" ca="1" si="36"/>
        <v>1871092.4526959739</v>
      </c>
      <c r="H1030" s="30">
        <f t="shared" ca="1" si="36"/>
        <v>1884222.9260482264</v>
      </c>
    </row>
    <row r="1031" spans="2:8">
      <c r="B1031" s="152">
        <f t="shared" si="35"/>
        <v>0</v>
      </c>
      <c r="D1031" s="30">
        <f t="shared" ca="1" si="36"/>
        <v>0</v>
      </c>
      <c r="E1031" s="30">
        <f t="shared" ca="1" si="36"/>
        <v>0</v>
      </c>
      <c r="F1031" s="30">
        <f t="shared" ca="1" si="36"/>
        <v>4367218.75</v>
      </c>
      <c r="G1031" s="30">
        <f t="shared" ca="1" si="36"/>
        <v>4400528.0455508474</v>
      </c>
      <c r="H1031" s="30">
        <f t="shared" ca="1" si="36"/>
        <v>4432773.2941604871</v>
      </c>
    </row>
    <row r="1032" spans="2:8">
      <c r="B1032" s="152">
        <f t="shared" si="35"/>
        <v>0</v>
      </c>
      <c r="D1032" s="30">
        <f t="shared" ca="1" si="36"/>
        <v>2310970.183375</v>
      </c>
      <c r="E1032" s="30">
        <f t="shared" ca="1" si="36"/>
        <v>2287063.5952711208</v>
      </c>
      <c r="F1032" s="30">
        <f t="shared" ca="1" si="36"/>
        <v>2260517.3213974382</v>
      </c>
      <c r="G1032" s="30">
        <f t="shared" ca="1" si="36"/>
        <v>2231214.3190830271</v>
      </c>
      <c r="H1032" s="30">
        <f t="shared" ca="1" si="36"/>
        <v>2199033.3433270217</v>
      </c>
    </row>
    <row r="1033" spans="2:8">
      <c r="B1033" s="152">
        <f t="shared" si="35"/>
        <v>0</v>
      </c>
      <c r="D1033" s="30">
        <f t="shared" ca="1" si="36"/>
        <v>0</v>
      </c>
      <c r="E1033" s="30">
        <f t="shared" ca="1" si="36"/>
        <v>2276619.2301749997</v>
      </c>
      <c r="F1033" s="30">
        <f t="shared" ca="1" si="36"/>
        <v>2253067.996759396</v>
      </c>
      <c r="G1033" s="30">
        <f t="shared" ca="1" si="36"/>
        <v>2226916.3146541528</v>
      </c>
      <c r="H1033" s="30">
        <f t="shared" ca="1" si="36"/>
        <v>2198048.8809456727</v>
      </c>
    </row>
    <row r="1034" spans="2:8">
      <c r="B1034" s="152">
        <f t="shared" si="35"/>
        <v>0</v>
      </c>
      <c r="D1034" s="30">
        <f t="shared" ca="1" si="36"/>
        <v>0</v>
      </c>
      <c r="E1034" s="30">
        <f t="shared" ca="1" si="36"/>
        <v>0</v>
      </c>
      <c r="F1034" s="30">
        <f t="shared" ca="1" si="36"/>
        <v>5172522.44625</v>
      </c>
      <c r="G1034" s="30">
        <f t="shared" ca="1" si="36"/>
        <v>5119013.5933577586</v>
      </c>
      <c r="H1034" s="30">
        <f t="shared" ca="1" si="36"/>
        <v>5059596.4712919993</v>
      </c>
    </row>
    <row r="1035" spans="2:8">
      <c r="B1035" s="152">
        <f t="shared" si="35"/>
        <v>0</v>
      </c>
      <c r="D1035" s="30">
        <f t="shared" ca="1" si="36"/>
        <v>0</v>
      </c>
      <c r="E1035" s="30">
        <f t="shared" ca="1" si="36"/>
        <v>0</v>
      </c>
      <c r="F1035" s="30">
        <f t="shared" ca="1" si="36"/>
        <v>0</v>
      </c>
      <c r="G1035" s="30">
        <f t="shared" ca="1" si="36"/>
        <v>39472661.616250001</v>
      </c>
      <c r="H1035" s="30">
        <f t="shared" ca="1" si="36"/>
        <v>39064323.737461209</v>
      </c>
    </row>
    <row r="1036" spans="2:8">
      <c r="B1036" s="152">
        <f t="shared" si="35"/>
        <v>0</v>
      </c>
      <c r="D1036" s="30">
        <f t="shared" ca="1" si="36"/>
        <v>0</v>
      </c>
      <c r="E1036" s="30">
        <f t="shared" ca="1" si="36"/>
        <v>0</v>
      </c>
      <c r="F1036" s="30">
        <f t="shared" ca="1" si="36"/>
        <v>0</v>
      </c>
      <c r="G1036" s="30">
        <f t="shared" ca="1" si="36"/>
        <v>0</v>
      </c>
      <c r="H1036" s="30">
        <f t="shared" ca="1" si="36"/>
        <v>13885432.401249999</v>
      </c>
    </row>
    <row r="1037" spans="2:8">
      <c r="B1037" s="152">
        <f t="shared" si="35"/>
        <v>0</v>
      </c>
      <c r="D1037" s="30">
        <f t="shared" ca="1" si="36"/>
        <v>0</v>
      </c>
      <c r="E1037" s="30">
        <f t="shared" ca="1" si="36"/>
        <v>9670863.1199999992</v>
      </c>
      <c r="F1037" s="30">
        <f t="shared" ca="1" si="36"/>
        <v>9570819.7084137928</v>
      </c>
      <c r="G1037" s="30">
        <f t="shared" ca="1" si="36"/>
        <v>9459729.8367982749</v>
      </c>
      <c r="H1037" s="30">
        <f t="shared" ca="1" si="36"/>
        <v>9337103.7092842236</v>
      </c>
    </row>
    <row r="1038" spans="2:8">
      <c r="B1038" s="152">
        <f t="shared" si="35"/>
        <v>0</v>
      </c>
      <c r="D1038" s="30">
        <f t="shared" ca="1" si="36"/>
        <v>0</v>
      </c>
      <c r="E1038" s="30">
        <f t="shared" ca="1" si="36"/>
        <v>0</v>
      </c>
      <c r="F1038" s="30">
        <f t="shared" ca="1" si="36"/>
        <v>9020039.7949999999</v>
      </c>
      <c r="G1038" s="30">
        <f t="shared" ca="1" si="36"/>
        <v>8926729.0384999998</v>
      </c>
      <c r="H1038" s="30">
        <f t="shared" ca="1" si="36"/>
        <v>8823115.2193031237</v>
      </c>
    </row>
    <row r="1039" spans="2:8">
      <c r="B1039" s="152">
        <f t="shared" si="35"/>
        <v>0</v>
      </c>
      <c r="D1039" s="30">
        <f t="shared" ca="1" si="36"/>
        <v>0</v>
      </c>
      <c r="E1039" s="30">
        <f t="shared" ca="1" si="36"/>
        <v>0</v>
      </c>
      <c r="F1039" s="30">
        <f t="shared" ca="1" si="36"/>
        <v>0</v>
      </c>
      <c r="G1039" s="30">
        <f t="shared" ca="1" si="36"/>
        <v>9273791.4116666671</v>
      </c>
      <c r="H1039" s="30">
        <f t="shared" ca="1" si="36"/>
        <v>9177855.6384425294</v>
      </c>
    </row>
    <row r="1040" spans="2:8">
      <c r="B1040" s="152">
        <f t="shared" si="35"/>
        <v>0</v>
      </c>
      <c r="D1040" s="30">
        <f t="shared" ca="1" si="36"/>
        <v>0</v>
      </c>
      <c r="E1040" s="30">
        <f t="shared" ca="1" si="36"/>
        <v>0</v>
      </c>
      <c r="F1040" s="30">
        <f t="shared" ca="1" si="36"/>
        <v>0</v>
      </c>
      <c r="G1040" s="30">
        <f t="shared" ca="1" si="36"/>
        <v>0</v>
      </c>
      <c r="H1040" s="30">
        <f t="shared" ca="1" si="36"/>
        <v>9544037.0824999996</v>
      </c>
    </row>
    <row r="1041" spans="2:8">
      <c r="B1041" s="152">
        <f t="shared" si="35"/>
        <v>0</v>
      </c>
      <c r="D1041" s="30">
        <f t="shared" ca="1" si="36"/>
        <v>0</v>
      </c>
      <c r="E1041" s="30">
        <f t="shared" ca="1" si="36"/>
        <v>275688.02657687501</v>
      </c>
      <c r="F1041" s="30">
        <f t="shared" ca="1" si="36"/>
        <v>279003.26233950834</v>
      </c>
      <c r="G1041" s="30">
        <f t="shared" ca="1" si="36"/>
        <v>282311.95487366279</v>
      </c>
      <c r="H1041" s="30">
        <f t="shared" ca="1" si="36"/>
        <v>285611.70499556273</v>
      </c>
    </row>
    <row r="1042" spans="2:8">
      <c r="B1042" s="152">
        <f t="shared" si="35"/>
        <v>0</v>
      </c>
      <c r="D1042" s="30">
        <f t="shared" ref="D1042:H1057" ca="1" si="37">D207+D374+D708+D875+D541</f>
        <v>0</v>
      </c>
      <c r="E1042" s="30">
        <f t="shared" ca="1" si="37"/>
        <v>0</v>
      </c>
      <c r="F1042" s="30">
        <f t="shared" ca="1" si="37"/>
        <v>8282598.3825000003</v>
      </c>
      <c r="G1042" s="30">
        <f t="shared" ca="1" si="37"/>
        <v>8382199.2491249992</v>
      </c>
      <c r="H1042" s="30">
        <f t="shared" ca="1" si="37"/>
        <v>8481603.5350921862</v>
      </c>
    </row>
    <row r="1043" spans="2:8">
      <c r="B1043" s="152">
        <f t="shared" si="35"/>
        <v>0</v>
      </c>
      <c r="D1043" s="30">
        <f t="shared" ca="1" si="37"/>
        <v>0</v>
      </c>
      <c r="E1043" s="30">
        <f t="shared" ca="1" si="37"/>
        <v>0</v>
      </c>
      <c r="F1043" s="30">
        <f t="shared" ca="1" si="37"/>
        <v>0</v>
      </c>
      <c r="G1043" s="30">
        <f t="shared" ca="1" si="37"/>
        <v>11737845.26390625</v>
      </c>
      <c r="H1043" s="30">
        <f t="shared" ca="1" si="37"/>
        <v>11878996.567712719</v>
      </c>
    </row>
    <row r="1044" spans="2:8">
      <c r="B1044" s="152">
        <f t="shared" si="35"/>
        <v>0</v>
      </c>
      <c r="D1044" s="30">
        <f t="shared" ca="1" si="37"/>
        <v>0</v>
      </c>
      <c r="E1044" s="30">
        <f t="shared" ca="1" si="37"/>
        <v>0</v>
      </c>
      <c r="F1044" s="30">
        <f t="shared" ca="1" si="37"/>
        <v>0</v>
      </c>
      <c r="G1044" s="30">
        <f t="shared" ca="1" si="37"/>
        <v>0</v>
      </c>
      <c r="H1044" s="30">
        <f t="shared" ca="1" si="37"/>
        <v>4160532.6854687501</v>
      </c>
    </row>
    <row r="1045" spans="2:8">
      <c r="B1045" s="152">
        <f t="shared" si="35"/>
        <v>0</v>
      </c>
      <c r="D1045" s="30">
        <f t="shared" ca="1" si="37"/>
        <v>0</v>
      </c>
      <c r="E1045" s="30">
        <f t="shared" ca="1" si="37"/>
        <v>4280291.666666667</v>
      </c>
      <c r="F1045" s="30">
        <f t="shared" ca="1" si="37"/>
        <v>4236012.7873563226</v>
      </c>
      <c r="G1045" s="30">
        <f t="shared" ca="1" si="37"/>
        <v>4186844.7817887943</v>
      </c>
      <c r="H1045" s="30">
        <f t="shared" ca="1" si="37"/>
        <v>4132570.867950792</v>
      </c>
    </row>
    <row r="1046" spans="2:8">
      <c r="B1046" s="152">
        <f t="shared" si="35"/>
        <v>0</v>
      </c>
      <c r="D1046" s="30">
        <f t="shared" ca="1" si="37"/>
        <v>0</v>
      </c>
      <c r="E1046" s="30">
        <f t="shared" ca="1" si="37"/>
        <v>0</v>
      </c>
      <c r="F1046" s="30">
        <f t="shared" ca="1" si="37"/>
        <v>18116583.333333332</v>
      </c>
      <c r="G1046" s="30">
        <f t="shared" ca="1" si="37"/>
        <v>17929170.402298849</v>
      </c>
      <c r="H1046" s="30">
        <f t="shared" ca="1" si="37"/>
        <v>17721063.960129309</v>
      </c>
    </row>
    <row r="1047" spans="2:8">
      <c r="B1047" s="152">
        <f t="shared" si="35"/>
        <v>0</v>
      </c>
      <c r="D1047" s="30">
        <f t="shared" ca="1" si="37"/>
        <v>0</v>
      </c>
      <c r="E1047" s="30">
        <f t="shared" ca="1" si="37"/>
        <v>0</v>
      </c>
      <c r="F1047" s="30">
        <f t="shared" ca="1" si="37"/>
        <v>537650.42249999999</v>
      </c>
      <c r="G1047" s="30">
        <f t="shared" ca="1" si="37"/>
        <v>532088.52157758619</v>
      </c>
      <c r="H1047" s="30">
        <f t="shared" ca="1" si="37"/>
        <v>525912.49409498915</v>
      </c>
    </row>
    <row r="1048" spans="2:8">
      <c r="B1048" s="152">
        <f t="shared" si="35"/>
        <v>0</v>
      </c>
      <c r="D1048" s="30">
        <f t="shared" ca="1" si="37"/>
        <v>0</v>
      </c>
      <c r="E1048" s="30">
        <f t="shared" ca="1" si="37"/>
        <v>0</v>
      </c>
      <c r="F1048" s="30">
        <f t="shared" ca="1" si="37"/>
        <v>0</v>
      </c>
      <c r="G1048" s="30">
        <f t="shared" ca="1" si="37"/>
        <v>7756644.0212500002</v>
      </c>
      <c r="H1048" s="30">
        <f t="shared" ca="1" si="37"/>
        <v>7676402.876202587</v>
      </c>
    </row>
    <row r="1049" spans="2:8">
      <c r="B1049" s="152">
        <f t="shared" si="35"/>
        <v>0</v>
      </c>
      <c r="D1049" s="30">
        <f t="shared" ca="1" si="37"/>
        <v>0</v>
      </c>
      <c r="E1049" s="30">
        <f t="shared" ca="1" si="37"/>
        <v>0</v>
      </c>
      <c r="F1049" s="30">
        <f t="shared" ca="1" si="37"/>
        <v>0</v>
      </c>
      <c r="G1049" s="30">
        <f t="shared" ca="1" si="37"/>
        <v>0</v>
      </c>
      <c r="H1049" s="30">
        <f t="shared" ca="1" si="37"/>
        <v>11377683.174583333</v>
      </c>
    </row>
    <row r="1050" spans="2:8">
      <c r="B1050" s="152">
        <f t="shared" si="35"/>
        <v>0</v>
      </c>
      <c r="D1050" s="30">
        <f t="shared" ca="1" si="37"/>
        <v>0</v>
      </c>
      <c r="E1050" s="30">
        <f t="shared" ca="1" si="37"/>
        <v>0</v>
      </c>
      <c r="F1050" s="30">
        <f t="shared" ca="1" si="37"/>
        <v>1029995.51625</v>
      </c>
      <c r="G1050" s="30">
        <f t="shared" ca="1" si="37"/>
        <v>1000179.8565690789</v>
      </c>
      <c r="H1050" s="30">
        <f t="shared" ca="1" si="37"/>
        <v>968229.66670645552</v>
      </c>
    </row>
    <row r="1051" spans="2:8">
      <c r="B1051" s="152">
        <f t="shared" si="35"/>
        <v>0</v>
      </c>
      <c r="D1051" s="30">
        <f t="shared" ca="1" si="37"/>
        <v>0</v>
      </c>
      <c r="E1051" s="30">
        <f t="shared" ca="1" si="37"/>
        <v>0</v>
      </c>
      <c r="F1051" s="30">
        <f t="shared" ca="1" si="37"/>
        <v>0</v>
      </c>
      <c r="G1051" s="30">
        <f t="shared" ca="1" si="37"/>
        <v>5284009.0225</v>
      </c>
      <c r="H1051" s="30">
        <f t="shared" ca="1" si="37"/>
        <v>5131050.8665855266</v>
      </c>
    </row>
    <row r="1052" spans="2:8">
      <c r="B1052" s="152">
        <f t="shared" si="35"/>
        <v>0</v>
      </c>
      <c r="D1052" s="30">
        <f t="shared" ca="1" si="37"/>
        <v>0</v>
      </c>
      <c r="E1052" s="30">
        <f t="shared" ca="1" si="37"/>
        <v>0</v>
      </c>
      <c r="F1052" s="30">
        <f t="shared" ca="1" si="37"/>
        <v>0</v>
      </c>
      <c r="G1052" s="30">
        <f t="shared" ca="1" si="37"/>
        <v>0</v>
      </c>
      <c r="H1052" s="30">
        <f t="shared" ca="1" si="37"/>
        <v>10660740.872500001</v>
      </c>
    </row>
    <row r="1053" spans="2:8">
      <c r="B1053" s="152">
        <f t="shared" si="35"/>
        <v>0</v>
      </c>
      <c r="D1053" s="30">
        <f t="shared" ca="1" si="37"/>
        <v>0</v>
      </c>
      <c r="E1053" s="30">
        <f t="shared" ca="1" si="37"/>
        <v>0</v>
      </c>
      <c r="F1053" s="30">
        <f t="shared" ca="1" si="37"/>
        <v>2077820.2559507841</v>
      </c>
      <c r="G1053" s="30">
        <f t="shared" ca="1" si="37"/>
        <v>2056325.5636478451</v>
      </c>
      <c r="H1053" s="30">
        <f t="shared" ca="1" si="37"/>
        <v>2032457.4990697899</v>
      </c>
    </row>
    <row r="1054" spans="2:8">
      <c r="B1054" s="152">
        <f t="shared" si="35"/>
        <v>0</v>
      </c>
      <c r="D1054" s="30">
        <f t="shared" ca="1" si="37"/>
        <v>0</v>
      </c>
      <c r="E1054" s="30">
        <f t="shared" ca="1" si="37"/>
        <v>0</v>
      </c>
      <c r="F1054" s="30">
        <f t="shared" ca="1" si="37"/>
        <v>0</v>
      </c>
      <c r="G1054" s="30">
        <f t="shared" ca="1" si="37"/>
        <v>5329743.208705619</v>
      </c>
      <c r="H1054" s="30">
        <f t="shared" ca="1" si="37"/>
        <v>5274607.9341328023</v>
      </c>
    </row>
    <row r="1055" spans="2:8">
      <c r="B1055" s="152">
        <f t="shared" si="35"/>
        <v>0</v>
      </c>
      <c r="D1055" s="30">
        <f t="shared" ca="1" si="37"/>
        <v>0</v>
      </c>
      <c r="E1055" s="30">
        <f t="shared" ca="1" si="37"/>
        <v>0</v>
      </c>
      <c r="F1055" s="30">
        <f t="shared" ca="1" si="37"/>
        <v>0</v>
      </c>
      <c r="G1055" s="30">
        <f t="shared" ca="1" si="37"/>
        <v>0</v>
      </c>
      <c r="H1055" s="30">
        <f t="shared" ca="1" si="37"/>
        <v>9633821.2980478127</v>
      </c>
    </row>
    <row r="1056" spans="2:8">
      <c r="B1056" s="152">
        <f t="shared" si="35"/>
        <v>0</v>
      </c>
      <c r="D1056" s="30">
        <f t="shared" ca="1" si="37"/>
        <v>0</v>
      </c>
      <c r="E1056" s="30">
        <f t="shared" ca="1" si="37"/>
        <v>0</v>
      </c>
      <c r="F1056" s="30">
        <f t="shared" ca="1" si="37"/>
        <v>1086834.785625</v>
      </c>
      <c r="G1056" s="30">
        <f t="shared" ca="1" si="37"/>
        <v>1099904.3178571996</v>
      </c>
      <c r="H1056" s="30">
        <f t="shared" ca="1" si="37"/>
        <v>1112948.0549599933</v>
      </c>
    </row>
    <row r="1057" spans="2:8">
      <c r="B1057" s="152">
        <f t="shared" si="35"/>
        <v>0</v>
      </c>
      <c r="D1057" s="30">
        <f t="shared" ca="1" si="37"/>
        <v>0</v>
      </c>
      <c r="E1057" s="30">
        <f t="shared" ca="1" si="37"/>
        <v>0</v>
      </c>
      <c r="F1057" s="30">
        <f t="shared" ca="1" si="37"/>
        <v>0</v>
      </c>
      <c r="G1057" s="30">
        <f t="shared" ca="1" si="37"/>
        <v>7821870.8289062502</v>
      </c>
      <c r="H1057" s="30">
        <f t="shared" ca="1" si="37"/>
        <v>7915931.3008994265</v>
      </c>
    </row>
    <row r="1058" spans="2:8">
      <c r="B1058" s="152">
        <f t="shared" si="35"/>
        <v>0</v>
      </c>
      <c r="D1058" s="30">
        <f t="shared" ref="D1058:H1073" ca="1" si="38">D223+D390+D724+D891+D557</f>
        <v>0</v>
      </c>
      <c r="E1058" s="30">
        <f t="shared" ca="1" si="38"/>
        <v>0</v>
      </c>
      <c r="F1058" s="30">
        <f t="shared" ca="1" si="38"/>
        <v>0</v>
      </c>
      <c r="G1058" s="30">
        <f t="shared" ca="1" si="38"/>
        <v>0</v>
      </c>
      <c r="H1058" s="30">
        <f t="shared" ca="1" si="38"/>
        <v>4723798.2957812501</v>
      </c>
    </row>
    <row r="1059" spans="2:8">
      <c r="B1059" s="152">
        <f t="shared" si="35"/>
        <v>0</v>
      </c>
      <c r="D1059" s="30">
        <f t="shared" ca="1" si="38"/>
        <v>0</v>
      </c>
      <c r="E1059" s="30">
        <f t="shared" ca="1" si="38"/>
        <v>0</v>
      </c>
      <c r="F1059" s="30">
        <f t="shared" ca="1" si="38"/>
        <v>759170.20062500006</v>
      </c>
      <c r="G1059" s="30">
        <f t="shared" ca="1" si="38"/>
        <v>764960.48181620776</v>
      </c>
      <c r="H1059" s="30">
        <f t="shared" ca="1" si="38"/>
        <v>770565.79569158517</v>
      </c>
    </row>
    <row r="1060" spans="2:8">
      <c r="B1060" s="152">
        <f t="shared" si="35"/>
        <v>0</v>
      </c>
      <c r="D1060" s="30">
        <f t="shared" ca="1" si="38"/>
        <v>0</v>
      </c>
      <c r="E1060" s="30">
        <f t="shared" ca="1" si="38"/>
        <v>0</v>
      </c>
      <c r="F1060" s="30">
        <f t="shared" ca="1" si="38"/>
        <v>0</v>
      </c>
      <c r="G1060" s="30">
        <f t="shared" ca="1" si="38"/>
        <v>5768305.8535416666</v>
      </c>
      <c r="H1060" s="30">
        <f t="shared" ca="1" si="38"/>
        <v>5812301.4066618998</v>
      </c>
    </row>
    <row r="1061" spans="2:8">
      <c r="B1061" s="152">
        <f t="shared" si="35"/>
        <v>0</v>
      </c>
      <c r="D1061" s="30">
        <f t="shared" ca="1" si="38"/>
        <v>0</v>
      </c>
      <c r="E1061" s="30">
        <f t="shared" ca="1" si="38"/>
        <v>0</v>
      </c>
      <c r="F1061" s="30">
        <f t="shared" ca="1" si="38"/>
        <v>0</v>
      </c>
      <c r="G1061" s="30">
        <f t="shared" ca="1" si="38"/>
        <v>0</v>
      </c>
      <c r="H1061" s="30">
        <f t="shared" ca="1" si="38"/>
        <v>4938363.618125</v>
      </c>
    </row>
    <row r="1062" spans="2:8">
      <c r="B1062" s="152">
        <f t="shared" si="35"/>
        <v>0</v>
      </c>
      <c r="D1062" s="30">
        <f t="shared" ca="1" si="38"/>
        <v>0</v>
      </c>
      <c r="E1062" s="30">
        <f t="shared" ca="1" si="38"/>
        <v>910370.07625000004</v>
      </c>
      <c r="F1062" s="30">
        <f t="shared" ca="1" si="38"/>
        <v>829448.29169444449</v>
      </c>
      <c r="G1062" s="30">
        <f t="shared" ca="1" si="38"/>
        <v>743911.43661345483</v>
      </c>
      <c r="H1062" s="30">
        <f t="shared" ca="1" si="38"/>
        <v>653579.33359610674</v>
      </c>
    </row>
    <row r="1063" spans="2:8">
      <c r="B1063" s="152">
        <f t="shared" si="35"/>
        <v>0</v>
      </c>
      <c r="D1063" s="30">
        <f t="shared" ca="1" si="38"/>
        <v>0</v>
      </c>
      <c r="E1063" s="30">
        <f t="shared" ca="1" si="38"/>
        <v>0</v>
      </c>
      <c r="F1063" s="30">
        <f t="shared" ca="1" si="38"/>
        <v>1419240.44625</v>
      </c>
      <c r="G1063" s="30">
        <f t="shared" ca="1" si="38"/>
        <v>1293085.7399166666</v>
      </c>
      <c r="H1063" s="30">
        <f t="shared" ca="1" si="38"/>
        <v>1159736.2729877604</v>
      </c>
    </row>
    <row r="1064" spans="2:8">
      <c r="B1064" s="152">
        <f t="shared" si="35"/>
        <v>0</v>
      </c>
      <c r="D1064" s="30">
        <f t="shared" ca="1" si="38"/>
        <v>0</v>
      </c>
      <c r="E1064" s="30">
        <f t="shared" ca="1" si="38"/>
        <v>0</v>
      </c>
      <c r="F1064" s="30">
        <f t="shared" ca="1" si="38"/>
        <v>0</v>
      </c>
      <c r="G1064" s="30">
        <f t="shared" ca="1" si="38"/>
        <v>1469601.2949999999</v>
      </c>
      <c r="H1064" s="30">
        <f t="shared" ca="1" si="38"/>
        <v>1338970.0687777777</v>
      </c>
    </row>
    <row r="1065" spans="2:8">
      <c r="B1065" s="152">
        <f t="shared" si="35"/>
        <v>0</v>
      </c>
      <c r="D1065" s="30">
        <f t="shared" ca="1" si="38"/>
        <v>0</v>
      </c>
      <c r="E1065" s="30">
        <f t="shared" ca="1" si="38"/>
        <v>0</v>
      </c>
      <c r="F1065" s="30">
        <f t="shared" ca="1" si="38"/>
        <v>0</v>
      </c>
      <c r="G1065" s="30">
        <f t="shared" ca="1" si="38"/>
        <v>0</v>
      </c>
      <c r="H1065" s="30">
        <f t="shared" ca="1" si="38"/>
        <v>1098715.47875</v>
      </c>
    </row>
    <row r="1066" spans="2:8">
      <c r="B1066" s="152">
        <f t="shared" si="35"/>
        <v>0</v>
      </c>
      <c r="D1066" s="30">
        <f t="shared" ca="1" si="38"/>
        <v>0</v>
      </c>
      <c r="E1066" s="30">
        <f t="shared" ca="1" si="38"/>
        <v>0</v>
      </c>
      <c r="F1066" s="30">
        <f t="shared" ca="1" si="38"/>
        <v>526897.93166666664</v>
      </c>
      <c r="G1066" s="30">
        <f t="shared" ca="1" si="38"/>
        <v>521447.26340804598</v>
      </c>
      <c r="H1066" s="30">
        <f t="shared" ca="1" si="38"/>
        <v>515394.75052920263</v>
      </c>
    </row>
    <row r="1067" spans="2:8">
      <c r="B1067" s="152">
        <f t="shared" si="35"/>
        <v>0</v>
      </c>
      <c r="D1067" s="30">
        <f t="shared" ca="1" si="38"/>
        <v>0</v>
      </c>
      <c r="E1067" s="30">
        <f t="shared" ca="1" si="38"/>
        <v>0</v>
      </c>
      <c r="F1067" s="30">
        <f t="shared" ca="1" si="38"/>
        <v>0</v>
      </c>
      <c r="G1067" s="30">
        <f t="shared" ca="1" si="38"/>
        <v>4145818.8383333334</v>
      </c>
      <c r="H1067" s="30">
        <f t="shared" ca="1" si="38"/>
        <v>4102931.057247126</v>
      </c>
    </row>
    <row r="1068" spans="2:8">
      <c r="B1068" s="152">
        <f t="shared" si="35"/>
        <v>0</v>
      </c>
      <c r="D1068" s="30">
        <f t="shared" ca="1" si="38"/>
        <v>3144111.068654167</v>
      </c>
      <c r="E1068" s="30">
        <f t="shared" ca="1" si="38"/>
        <v>3111585.7817370552</v>
      </c>
      <c r="F1068" s="30">
        <f t="shared" ca="1" si="38"/>
        <v>3075469.1610561786</v>
      </c>
      <c r="G1068" s="30">
        <f t="shared" ca="1" si="38"/>
        <v>3035601.9682276729</v>
      </c>
      <c r="H1068" s="30">
        <f t="shared" ca="1" si="38"/>
        <v>2991819.2475320818</v>
      </c>
    </row>
    <row r="1069" spans="2:8">
      <c r="B1069" s="152">
        <f t="shared" si="35"/>
        <v>0</v>
      </c>
      <c r="D1069" s="30">
        <f t="shared" ca="1" si="38"/>
        <v>0</v>
      </c>
      <c r="E1069" s="30">
        <f t="shared" ca="1" si="38"/>
        <v>956851.90567916655</v>
      </c>
      <c r="F1069" s="30">
        <f t="shared" ca="1" si="38"/>
        <v>946953.43768938212</v>
      </c>
      <c r="G1069" s="30">
        <f t="shared" ca="1" si="38"/>
        <v>935962.01385905896</v>
      </c>
      <c r="H1069" s="30">
        <f t="shared" ca="1" si="38"/>
        <v>923829.17293866375</v>
      </c>
    </row>
    <row r="1070" spans="2:8">
      <c r="B1070" s="152">
        <f t="shared" si="35"/>
        <v>0</v>
      </c>
      <c r="D1070" s="30">
        <f t="shared" ca="1" si="38"/>
        <v>1627956.3674624998</v>
      </c>
      <c r="E1070" s="30">
        <f t="shared" ca="1" si="38"/>
        <v>1611115.4395232326</v>
      </c>
      <c r="F1070" s="30">
        <f t="shared" ca="1" si="38"/>
        <v>1592414.9924573381</v>
      </c>
      <c r="G1070" s="30">
        <f t="shared" ca="1" si="38"/>
        <v>1571772.5758884468</v>
      </c>
      <c r="H1070" s="30">
        <f t="shared" ca="1" si="38"/>
        <v>1549102.779120825</v>
      </c>
    </row>
    <row r="1071" spans="2:8">
      <c r="B1071" s="152">
        <f t="shared" si="35"/>
        <v>0</v>
      </c>
      <c r="D1071" s="30">
        <f t="shared" ca="1" si="38"/>
        <v>0</v>
      </c>
      <c r="E1071" s="30">
        <f t="shared" ca="1" si="38"/>
        <v>2067741.6040458332</v>
      </c>
      <c r="F1071" s="30">
        <f t="shared" ca="1" si="38"/>
        <v>2046351.1736591519</v>
      </c>
      <c r="G1071" s="30">
        <f t="shared" ca="1" si="38"/>
        <v>2022598.8832506081</v>
      </c>
      <c r="H1071" s="30">
        <f t="shared" ca="1" si="38"/>
        <v>1996380.0088381001</v>
      </c>
    </row>
    <row r="1072" spans="2:8">
      <c r="B1072" s="152">
        <f t="shared" si="35"/>
        <v>0</v>
      </c>
      <c r="D1072" s="30">
        <f t="shared" ca="1" si="38"/>
        <v>0</v>
      </c>
      <c r="E1072" s="30">
        <f t="shared" ca="1" si="38"/>
        <v>0</v>
      </c>
      <c r="F1072" s="30">
        <f t="shared" ca="1" si="38"/>
        <v>100437.54166666667</v>
      </c>
      <c r="G1072" s="30">
        <f t="shared" ca="1" si="38"/>
        <v>99398.532614942524</v>
      </c>
      <c r="H1072" s="30">
        <f t="shared" ca="1" si="38"/>
        <v>98244.799647090505</v>
      </c>
    </row>
    <row r="1073" spans="2:8">
      <c r="B1073" s="152">
        <f t="shared" si="35"/>
        <v>0</v>
      </c>
      <c r="D1073" s="30">
        <f t="shared" ca="1" si="38"/>
        <v>1605010.5941718754</v>
      </c>
      <c r="E1073" s="30">
        <f t="shared" ca="1" si="38"/>
        <v>1624311.3544815371</v>
      </c>
      <c r="F1073" s="30">
        <f t="shared" ca="1" si="38"/>
        <v>1643574.0211853248</v>
      </c>
      <c r="G1073" s="30">
        <f t="shared" ca="1" si="38"/>
        <v>1662784.6266277507</v>
      </c>
      <c r="H1073" s="30">
        <f t="shared" ca="1" si="38"/>
        <v>1681928.528579057</v>
      </c>
    </row>
    <row r="1074" spans="2:8">
      <c r="B1074" s="152">
        <f t="shared" si="35"/>
        <v>0</v>
      </c>
      <c r="D1074" s="30">
        <f t="shared" ref="D1074:H1089" ca="1" si="39">D239+D406+D740+D907+D573</f>
        <v>0</v>
      </c>
      <c r="E1074" s="30">
        <f t="shared" ca="1" si="39"/>
        <v>2166085.9283296876</v>
      </c>
      <c r="F1074" s="30">
        <f t="shared" ca="1" si="39"/>
        <v>2192133.7970880829</v>
      </c>
      <c r="G1074" s="30">
        <f t="shared" ca="1" si="39"/>
        <v>2218130.2555791913</v>
      </c>
      <c r="H1074" s="30">
        <f t="shared" ca="1" si="39"/>
        <v>2244056.4533716752</v>
      </c>
    </row>
    <row r="1075" spans="2:8">
      <c r="B1075" s="152">
        <f t="shared" si="35"/>
        <v>0</v>
      </c>
      <c r="D1075" s="30">
        <f t="shared" ca="1" si="39"/>
        <v>0</v>
      </c>
      <c r="E1075" s="30">
        <f t="shared" ca="1" si="39"/>
        <v>0</v>
      </c>
      <c r="F1075" s="30">
        <f t="shared" ca="1" si="39"/>
        <v>533036.84624999994</v>
      </c>
      <c r="G1075" s="30">
        <f t="shared" ca="1" si="39"/>
        <v>517606.83227960515</v>
      </c>
      <c r="H1075" s="30">
        <f t="shared" ca="1" si="39"/>
        <v>501072.16958178446</v>
      </c>
    </row>
    <row r="1076" spans="2:8">
      <c r="B1076" s="152">
        <f t="shared" si="35"/>
        <v>0</v>
      </c>
      <c r="D1076" s="30">
        <f t="shared" ca="1" si="39"/>
        <v>0</v>
      </c>
      <c r="E1076" s="30">
        <f t="shared" ca="1" si="39"/>
        <v>0</v>
      </c>
      <c r="F1076" s="30">
        <f t="shared" ca="1" si="39"/>
        <v>0</v>
      </c>
      <c r="G1076" s="30">
        <f t="shared" ca="1" si="39"/>
        <v>1561892.5218750001</v>
      </c>
      <c r="H1076" s="30">
        <f t="shared" ca="1" si="39"/>
        <v>1516679.8436101973</v>
      </c>
    </row>
    <row r="1077" spans="2:8">
      <c r="B1077" s="152">
        <f t="shared" si="35"/>
        <v>0</v>
      </c>
      <c r="D1077" s="30">
        <f t="shared" ca="1" si="39"/>
        <v>0</v>
      </c>
      <c r="E1077" s="30">
        <f t="shared" ca="1" si="39"/>
        <v>0</v>
      </c>
      <c r="F1077" s="30">
        <f t="shared" ca="1" si="39"/>
        <v>0</v>
      </c>
      <c r="G1077" s="30">
        <f t="shared" ca="1" si="39"/>
        <v>0</v>
      </c>
      <c r="H1077" s="30">
        <f t="shared" ca="1" si="39"/>
        <v>1128005.0331250001</v>
      </c>
    </row>
    <row r="1078" spans="2:8">
      <c r="B1078" s="152">
        <f t="shared" si="35"/>
        <v>0</v>
      </c>
      <c r="D1078" s="30">
        <f t="shared" ca="1" si="39"/>
        <v>175157.55220624999</v>
      </c>
      <c r="E1078" s="30">
        <f t="shared" ca="1" si="39"/>
        <v>170087.20201080589</v>
      </c>
      <c r="F1078" s="30">
        <f t="shared" ca="1" si="39"/>
        <v>164653.86083546068</v>
      </c>
      <c r="G1078" s="30">
        <f t="shared" ca="1" si="39"/>
        <v>158842.54810009149</v>
      </c>
      <c r="H1078" s="30">
        <f t="shared" ca="1" si="39"/>
        <v>152637.76106493166</v>
      </c>
    </row>
    <row r="1079" spans="2:8">
      <c r="B1079" s="152">
        <f t="shared" si="35"/>
        <v>0</v>
      </c>
      <c r="D1079" s="30">
        <f t="shared" ca="1" si="39"/>
        <v>0</v>
      </c>
      <c r="E1079" s="30">
        <f t="shared" ca="1" si="39"/>
        <v>229401.81752500002</v>
      </c>
      <c r="F1079" s="30">
        <f t="shared" ca="1" si="39"/>
        <v>222761.23859664475</v>
      </c>
      <c r="G1079" s="30">
        <f t="shared" ca="1" si="39"/>
        <v>215645.25458591859</v>
      </c>
      <c r="H1079" s="30">
        <f t="shared" ca="1" si="39"/>
        <v>208034.24560053324</v>
      </c>
    </row>
    <row r="1080" spans="2:8">
      <c r="B1080" s="152">
        <f t="shared" si="35"/>
        <v>0</v>
      </c>
      <c r="D1080" s="30">
        <f t="shared" ca="1" si="39"/>
        <v>0</v>
      </c>
      <c r="E1080" s="30">
        <f t="shared" ca="1" si="39"/>
        <v>0</v>
      </c>
      <c r="F1080" s="30">
        <f t="shared" ca="1" si="39"/>
        <v>2279088.1381250001</v>
      </c>
      <c r="G1080" s="30">
        <f t="shared" ca="1" si="39"/>
        <v>2213114.534126645</v>
      </c>
      <c r="H1080" s="30">
        <f t="shared" ca="1" si="39"/>
        <v>2142417.8198420438</v>
      </c>
    </row>
    <row r="1081" spans="2:8">
      <c r="B1081" s="152">
        <f t="shared" si="35"/>
        <v>0</v>
      </c>
      <c r="D1081" s="30">
        <f t="shared" ca="1" si="39"/>
        <v>0</v>
      </c>
      <c r="E1081" s="30">
        <f t="shared" ca="1" si="39"/>
        <v>0</v>
      </c>
      <c r="F1081" s="30">
        <f t="shared" ca="1" si="39"/>
        <v>0</v>
      </c>
      <c r="G1081" s="30">
        <f t="shared" ca="1" si="39"/>
        <v>143212.33937500001</v>
      </c>
      <c r="H1081" s="30">
        <f t="shared" ca="1" si="39"/>
        <v>139066.71902467107</v>
      </c>
    </row>
    <row r="1082" spans="2:8">
      <c r="B1082" s="152">
        <f t="shared" si="35"/>
        <v>0</v>
      </c>
      <c r="D1082" s="30">
        <f t="shared" ca="1" si="39"/>
        <v>0</v>
      </c>
      <c r="E1082" s="30">
        <f t="shared" ca="1" si="39"/>
        <v>0</v>
      </c>
      <c r="F1082" s="30">
        <f t="shared" ca="1" si="39"/>
        <v>0</v>
      </c>
      <c r="G1082" s="30">
        <f t="shared" ca="1" si="39"/>
        <v>1396762.97140625</v>
      </c>
      <c r="H1082" s="30">
        <f t="shared" ca="1" si="39"/>
        <v>1413559.4881510087</v>
      </c>
    </row>
    <row r="1083" spans="2:8">
      <c r="B1083" s="152">
        <f t="shared" si="35"/>
        <v>0</v>
      </c>
      <c r="D1083" s="30">
        <f t="shared" ca="1" si="39"/>
        <v>0</v>
      </c>
      <c r="E1083" s="30">
        <f t="shared" ca="1" si="39"/>
        <v>0</v>
      </c>
      <c r="F1083" s="30">
        <f t="shared" ca="1" si="39"/>
        <v>0</v>
      </c>
      <c r="G1083" s="30">
        <f t="shared" ca="1" si="39"/>
        <v>0</v>
      </c>
      <c r="H1083" s="30">
        <f t="shared" ca="1" si="39"/>
        <v>1437465.5001562501</v>
      </c>
    </row>
    <row r="1084" spans="2:8">
      <c r="B1084" s="152">
        <f t="shared" si="35"/>
        <v>0</v>
      </c>
      <c r="D1084" s="30">
        <f t="shared" ca="1" si="39"/>
        <v>243549.59125</v>
      </c>
      <c r="E1084" s="30">
        <f t="shared" ca="1" si="39"/>
        <v>241030.11271982759</v>
      </c>
      <c r="F1084" s="30">
        <f t="shared" ca="1" si="39"/>
        <v>238232.44176861533</v>
      </c>
      <c r="G1084" s="30">
        <f t="shared" ca="1" si="39"/>
        <v>235144.24344939252</v>
      </c>
      <c r="H1084" s="30">
        <f t="shared" ca="1" si="39"/>
        <v>231752.73993810322</v>
      </c>
    </row>
    <row r="1085" spans="2:8">
      <c r="B1085" s="152">
        <f t="shared" si="35"/>
        <v>0</v>
      </c>
      <c r="D1085" s="30">
        <f t="shared" ca="1" si="39"/>
        <v>0</v>
      </c>
      <c r="E1085" s="30">
        <f t="shared" ca="1" si="39"/>
        <v>2358915.5121291671</v>
      </c>
      <c r="F1085" s="30">
        <f t="shared" ca="1" si="39"/>
        <v>2334512.9378657616</v>
      </c>
      <c r="G1085" s="30">
        <f t="shared" ca="1" si="39"/>
        <v>2307415.9126941054</v>
      </c>
      <c r="H1085" s="30">
        <f t="shared" ca="1" si="39"/>
        <v>2277504.9656777005</v>
      </c>
    </row>
    <row r="1086" spans="2:8">
      <c r="B1086" s="152">
        <f t="shared" si="35"/>
        <v>0</v>
      </c>
      <c r="D1086" s="30">
        <f t="shared" ca="1" si="39"/>
        <v>0</v>
      </c>
      <c r="E1086" s="30">
        <f t="shared" ca="1" si="39"/>
        <v>0</v>
      </c>
      <c r="F1086" s="30">
        <f t="shared" ca="1" si="39"/>
        <v>268825.21124999999</v>
      </c>
      <c r="G1086" s="30">
        <f t="shared" ca="1" si="39"/>
        <v>266044.26078879309</v>
      </c>
      <c r="H1086" s="30">
        <f t="shared" ca="1" si="39"/>
        <v>262956.24704749457</v>
      </c>
    </row>
    <row r="1087" spans="2:8">
      <c r="B1087" s="152">
        <f t="shared" si="35"/>
        <v>0</v>
      </c>
      <c r="D1087" s="30">
        <f t="shared" ca="1" si="39"/>
        <v>0</v>
      </c>
      <c r="E1087" s="30">
        <f t="shared" ca="1" si="39"/>
        <v>0</v>
      </c>
      <c r="F1087" s="30">
        <f t="shared" ca="1" si="39"/>
        <v>0</v>
      </c>
      <c r="G1087" s="30">
        <f t="shared" ca="1" si="39"/>
        <v>1451036.7925</v>
      </c>
      <c r="H1087" s="30">
        <f t="shared" ca="1" si="39"/>
        <v>1436026.0670603449</v>
      </c>
    </row>
    <row r="1088" spans="2:8">
      <c r="B1088" s="152">
        <f t="shared" si="35"/>
        <v>0</v>
      </c>
      <c r="D1088" s="30">
        <f t="shared" ca="1" si="39"/>
        <v>0</v>
      </c>
      <c r="E1088" s="30">
        <f t="shared" ca="1" si="39"/>
        <v>0</v>
      </c>
      <c r="F1088" s="30">
        <f t="shared" ca="1" si="39"/>
        <v>0</v>
      </c>
      <c r="G1088" s="30">
        <f t="shared" ca="1" si="39"/>
        <v>0</v>
      </c>
      <c r="H1088" s="30">
        <f t="shared" ca="1" si="39"/>
        <v>711104.76291666669</v>
      </c>
    </row>
    <row r="1089" spans="2:8">
      <c r="B1089" s="152">
        <f t="shared" si="35"/>
        <v>0</v>
      </c>
      <c r="D1089" s="30">
        <f t="shared" ca="1" si="39"/>
        <v>412157.72527083335</v>
      </c>
      <c r="E1089" s="30">
        <f t="shared" ca="1" si="39"/>
        <v>415301.30114154308</v>
      </c>
      <c r="F1089" s="30">
        <f t="shared" ca="1" si="39"/>
        <v>418344.45722749404</v>
      </c>
      <c r="G1089" s="30">
        <f t="shared" ca="1" si="39"/>
        <v>421280.20780452911</v>
      </c>
      <c r="H1089" s="30">
        <f t="shared" ca="1" si="39"/>
        <v>424101.28062464873</v>
      </c>
    </row>
    <row r="1090" spans="2:8">
      <c r="B1090" s="152">
        <f t="shared" ref="B1090:B1153" si="40">B923</f>
        <v>0</v>
      </c>
      <c r="D1090" s="30">
        <f t="shared" ref="D1090:H1105" ca="1" si="41">D255+D422+D756+D923+D589</f>
        <v>0</v>
      </c>
      <c r="E1090" s="30">
        <f t="shared" ca="1" si="41"/>
        <v>169368.37320833333</v>
      </c>
      <c r="F1090" s="30">
        <f t="shared" ca="1" si="41"/>
        <v>170660.16588534604</v>
      </c>
      <c r="G1090" s="30">
        <f t="shared" ca="1" si="41"/>
        <v>171910.69296295417</v>
      </c>
      <c r="H1090" s="30">
        <f t="shared" ca="1" si="41"/>
        <v>173117.08379076436</v>
      </c>
    </row>
    <row r="1091" spans="2:8">
      <c r="B1091" s="152">
        <f t="shared" si="40"/>
        <v>0</v>
      </c>
      <c r="D1091" s="30">
        <f t="shared" ca="1" si="41"/>
        <v>0</v>
      </c>
      <c r="E1091" s="30">
        <f t="shared" ca="1" si="41"/>
        <v>0</v>
      </c>
      <c r="F1091" s="30">
        <f t="shared" ca="1" si="41"/>
        <v>1633548.6358333332</v>
      </c>
      <c r="G1091" s="30">
        <f t="shared" ca="1" si="41"/>
        <v>1646007.9050896892</v>
      </c>
      <c r="H1091" s="30">
        <f t="shared" ca="1" si="41"/>
        <v>1658069.169911467</v>
      </c>
    </row>
    <row r="1092" spans="2:8">
      <c r="B1092" s="152">
        <f t="shared" si="40"/>
        <v>0</v>
      </c>
      <c r="D1092" s="30">
        <f t="shared" ca="1" si="41"/>
        <v>1988578.4112104166</v>
      </c>
      <c r="E1092" s="30">
        <f t="shared" ca="1" si="41"/>
        <v>2003745.5346857503</v>
      </c>
      <c r="F1092" s="30">
        <f t="shared" ca="1" si="41"/>
        <v>2018428.152827844</v>
      </c>
      <c r="G1092" s="30">
        <f t="shared" ca="1" si="41"/>
        <v>2032592.5609178641</v>
      </c>
      <c r="H1092" s="30">
        <f t="shared" ca="1" si="41"/>
        <v>2046203.6718168678</v>
      </c>
    </row>
    <row r="1093" spans="2:8">
      <c r="B1093" s="152">
        <f t="shared" si="40"/>
        <v>0</v>
      </c>
      <c r="D1093" s="30">
        <f t="shared" ca="1" si="41"/>
        <v>0</v>
      </c>
      <c r="E1093" s="30">
        <f t="shared" ca="1" si="41"/>
        <v>45808.239368749993</v>
      </c>
      <c r="F1093" s="30">
        <f t="shared" ca="1" si="41"/>
        <v>46157.624245291307</v>
      </c>
      <c r="G1093" s="30">
        <f t="shared" ca="1" si="41"/>
        <v>46495.848216054212</v>
      </c>
      <c r="H1093" s="30">
        <f t="shared" ca="1" si="41"/>
        <v>46822.13487020196</v>
      </c>
    </row>
    <row r="1094" spans="2:8">
      <c r="B1094" s="152">
        <f t="shared" si="40"/>
        <v>0</v>
      </c>
      <c r="D1094" s="30">
        <f t="shared" ca="1" si="41"/>
        <v>290059.11195781245</v>
      </c>
      <c r="E1094" s="30">
        <f t="shared" ca="1" si="41"/>
        <v>293547.16456996335</v>
      </c>
      <c r="F1094" s="30">
        <f t="shared" ca="1" si="41"/>
        <v>297028.33286774816</v>
      </c>
      <c r="G1094" s="30">
        <f t="shared" ca="1" si="41"/>
        <v>300500.092602566</v>
      </c>
      <c r="H1094" s="30">
        <f t="shared" ca="1" si="41"/>
        <v>303959.79761608236</v>
      </c>
    </row>
    <row r="1095" spans="2:8">
      <c r="B1095" s="152">
        <f t="shared" si="40"/>
        <v>0</v>
      </c>
      <c r="D1095" s="30">
        <f t="shared" ca="1" si="41"/>
        <v>0</v>
      </c>
      <c r="E1095" s="30">
        <f t="shared" ca="1" si="41"/>
        <v>172202.56356874999</v>
      </c>
      <c r="F1095" s="30">
        <f t="shared" ca="1" si="41"/>
        <v>174273.35389014633</v>
      </c>
      <c r="G1095" s="30">
        <f t="shared" ca="1" si="41"/>
        <v>176340.05712538207</v>
      </c>
      <c r="H1095" s="30">
        <f t="shared" ca="1" si="41"/>
        <v>178401.17467619822</v>
      </c>
    </row>
    <row r="1096" spans="2:8">
      <c r="B1096" s="152">
        <f t="shared" si="40"/>
        <v>0</v>
      </c>
      <c r="D1096" s="30">
        <f t="shared" ca="1" si="41"/>
        <v>0</v>
      </c>
      <c r="E1096" s="30">
        <f t="shared" ca="1" si="41"/>
        <v>0</v>
      </c>
      <c r="F1096" s="30">
        <f t="shared" ca="1" si="41"/>
        <v>434734.11546875001</v>
      </c>
      <c r="G1096" s="30">
        <f t="shared" ca="1" si="41"/>
        <v>439961.9307813489</v>
      </c>
      <c r="H1096" s="30">
        <f t="shared" ca="1" si="41"/>
        <v>445179.42803740979</v>
      </c>
    </row>
    <row r="1097" spans="2:8">
      <c r="B1097" s="152">
        <f t="shared" si="40"/>
        <v>0</v>
      </c>
      <c r="D1097" s="30">
        <f t="shared" ca="1" si="41"/>
        <v>0</v>
      </c>
      <c r="E1097" s="30">
        <f t="shared" ca="1" si="41"/>
        <v>0</v>
      </c>
      <c r="F1097" s="30">
        <f t="shared" ca="1" si="41"/>
        <v>0</v>
      </c>
      <c r="G1097" s="30">
        <f t="shared" ca="1" si="41"/>
        <v>446964.19109375001</v>
      </c>
      <c r="H1097" s="30">
        <f t="shared" ca="1" si="41"/>
        <v>452339.07693601662</v>
      </c>
    </row>
    <row r="1098" spans="2:8">
      <c r="B1098" s="152">
        <f t="shared" si="40"/>
        <v>0</v>
      </c>
      <c r="D1098" s="30">
        <f t="shared" ca="1" si="41"/>
        <v>0</v>
      </c>
      <c r="E1098" s="30">
        <f t="shared" ca="1" si="41"/>
        <v>0</v>
      </c>
      <c r="F1098" s="30">
        <f t="shared" ca="1" si="41"/>
        <v>0</v>
      </c>
      <c r="G1098" s="30">
        <f t="shared" ca="1" si="41"/>
        <v>0</v>
      </c>
      <c r="H1098" s="30">
        <f t="shared" ca="1" si="41"/>
        <v>459989.08078125003</v>
      </c>
    </row>
    <row r="1099" spans="2:8">
      <c r="B1099" s="152">
        <f t="shared" si="40"/>
        <v>0</v>
      </c>
      <c r="D1099" s="30">
        <f t="shared" ca="1" si="41"/>
        <v>0</v>
      </c>
      <c r="E1099" s="30">
        <f t="shared" ca="1" si="41"/>
        <v>0</v>
      </c>
      <c r="F1099" s="30">
        <f t="shared" ca="1" si="41"/>
        <v>0</v>
      </c>
      <c r="G1099" s="30">
        <f t="shared" ca="1" si="41"/>
        <v>109606.285</v>
      </c>
      <c r="H1099" s="30">
        <f t="shared" ca="1" si="41"/>
        <v>106433.47148684211</v>
      </c>
    </row>
    <row r="1100" spans="2:8">
      <c r="B1100" s="152">
        <f t="shared" si="40"/>
        <v>0</v>
      </c>
      <c r="D1100" s="30">
        <f t="shared" ca="1" si="41"/>
        <v>0</v>
      </c>
      <c r="E1100" s="30">
        <f t="shared" ca="1" si="41"/>
        <v>0</v>
      </c>
      <c r="F1100" s="30">
        <f t="shared" ca="1" si="41"/>
        <v>0</v>
      </c>
      <c r="G1100" s="30">
        <f t="shared" ca="1" si="41"/>
        <v>0</v>
      </c>
      <c r="H1100" s="30">
        <f t="shared" ca="1" si="41"/>
        <v>930604.37437500001</v>
      </c>
    </row>
    <row r="1101" spans="2:8">
      <c r="B1101" s="152">
        <f t="shared" si="40"/>
        <v>0</v>
      </c>
      <c r="D1101" s="30">
        <f t="shared" ca="1" si="41"/>
        <v>0</v>
      </c>
      <c r="E1101" s="30">
        <f t="shared" ca="1" si="41"/>
        <v>0</v>
      </c>
      <c r="F1101" s="30">
        <f t="shared" ca="1" si="41"/>
        <v>324659.41499231005</v>
      </c>
      <c r="G1101" s="30">
        <f t="shared" ca="1" si="41"/>
        <v>321300.86931997578</v>
      </c>
      <c r="H1101" s="30">
        <f t="shared" ca="1" si="41"/>
        <v>317571.48422965466</v>
      </c>
    </row>
    <row r="1102" spans="2:8">
      <c r="B1102" s="152">
        <f t="shared" si="40"/>
        <v>0</v>
      </c>
      <c r="D1102" s="30">
        <f t="shared" ca="1" si="41"/>
        <v>0</v>
      </c>
      <c r="E1102" s="30">
        <f t="shared" ca="1" si="41"/>
        <v>0</v>
      </c>
      <c r="F1102" s="30">
        <f t="shared" ca="1" si="41"/>
        <v>0</v>
      </c>
      <c r="G1102" s="30">
        <f t="shared" ca="1" si="41"/>
        <v>333108.95054410119</v>
      </c>
      <c r="H1102" s="30">
        <f t="shared" ca="1" si="41"/>
        <v>329662.99588330014</v>
      </c>
    </row>
    <row r="1103" spans="2:8">
      <c r="B1103" s="152">
        <f t="shared" si="40"/>
        <v>0</v>
      </c>
      <c r="D1103" s="30">
        <f t="shared" ca="1" si="41"/>
        <v>0</v>
      </c>
      <c r="E1103" s="30">
        <f t="shared" ca="1" si="41"/>
        <v>0</v>
      </c>
      <c r="F1103" s="30">
        <f t="shared" ca="1" si="41"/>
        <v>0</v>
      </c>
      <c r="G1103" s="30">
        <f t="shared" ca="1" si="41"/>
        <v>0</v>
      </c>
      <c r="H1103" s="30">
        <f t="shared" ca="1" si="41"/>
        <v>362914.1546921166</v>
      </c>
    </row>
    <row r="1104" spans="2:8">
      <c r="B1104" s="152">
        <f t="shared" si="40"/>
        <v>0</v>
      </c>
      <c r="D1104" s="30">
        <f t="shared" ca="1" si="41"/>
        <v>0</v>
      </c>
      <c r="E1104" s="30">
        <f t="shared" ca="1" si="41"/>
        <v>0</v>
      </c>
      <c r="F1104" s="30">
        <f t="shared" ca="1" si="41"/>
        <v>0</v>
      </c>
      <c r="G1104" s="30">
        <f t="shared" ca="1" si="41"/>
        <v>428401.45250000001</v>
      </c>
      <c r="H1104" s="30">
        <f t="shared" ca="1" si="41"/>
        <v>423969.71333620691</v>
      </c>
    </row>
    <row r="1105" spans="2:8">
      <c r="B1105" s="152">
        <f t="shared" si="40"/>
        <v>0</v>
      </c>
      <c r="D1105" s="30">
        <f t="shared" ca="1" si="41"/>
        <v>0</v>
      </c>
      <c r="E1105" s="30">
        <f t="shared" ca="1" si="41"/>
        <v>0</v>
      </c>
      <c r="F1105" s="30">
        <f t="shared" ca="1" si="41"/>
        <v>0</v>
      </c>
      <c r="G1105" s="30">
        <f t="shared" ca="1" si="41"/>
        <v>0</v>
      </c>
      <c r="H1105" s="30">
        <f t="shared" ca="1" si="41"/>
        <v>568884.60666666669</v>
      </c>
    </row>
    <row r="1106" spans="2:8">
      <c r="B1106" s="152">
        <f t="shared" si="40"/>
        <v>0</v>
      </c>
      <c r="D1106" s="30">
        <f t="shared" ref="D1106:H1121" ca="1" si="42">D271+D438+D772+D939+D605</f>
        <v>93545.339257812506</v>
      </c>
      <c r="E1106" s="30">
        <f t="shared" ca="1" si="42"/>
        <v>94670.251565343162</v>
      </c>
      <c r="F1106" s="30">
        <f t="shared" ca="1" si="42"/>
        <v>95792.943651214227</v>
      </c>
      <c r="G1106" s="30">
        <f t="shared" ca="1" si="42"/>
        <v>96912.601434150492</v>
      </c>
      <c r="H1106" s="30">
        <f t="shared" ca="1" si="42"/>
        <v>98028.371516451574</v>
      </c>
    </row>
    <row r="1107" spans="2:8">
      <c r="B1107" s="152">
        <f t="shared" si="40"/>
        <v>0</v>
      </c>
      <c r="D1107" s="30">
        <f t="shared" ca="1" si="42"/>
        <v>0</v>
      </c>
      <c r="E1107" s="30">
        <f t="shared" ca="1" si="42"/>
        <v>742906.39601093752</v>
      </c>
      <c r="F1107" s="30">
        <f t="shared" ca="1" si="42"/>
        <v>751840.08051992976</v>
      </c>
      <c r="G1107" s="30">
        <f t="shared" ca="1" si="42"/>
        <v>760756.13275686477</v>
      </c>
      <c r="H1107" s="30">
        <f t="shared" ca="1" si="42"/>
        <v>769648.08755532163</v>
      </c>
    </row>
    <row r="1108" spans="2:8">
      <c r="B1108" s="152">
        <f t="shared" si="40"/>
        <v>0</v>
      </c>
      <c r="D1108" s="30">
        <f t="shared" ca="1" si="42"/>
        <v>808574.85969374992</v>
      </c>
      <c r="E1108" s="30">
        <f t="shared" ca="1" si="42"/>
        <v>814741.95608124463</v>
      </c>
      <c r="F1108" s="30">
        <f t="shared" ca="1" si="42"/>
        <v>820712.04800080555</v>
      </c>
      <c r="G1108" s="30">
        <f t="shared" ca="1" si="42"/>
        <v>826471.43079379364</v>
      </c>
      <c r="H1108" s="30">
        <f t="shared" ca="1" si="42"/>
        <v>832005.83769643074</v>
      </c>
    </row>
    <row r="1109" spans="2:8">
      <c r="B1109" s="152">
        <f t="shared" si="40"/>
        <v>0</v>
      </c>
      <c r="D1109" s="30">
        <f t="shared" ca="1" si="42"/>
        <v>0</v>
      </c>
      <c r="E1109" s="30">
        <f t="shared" ca="1" si="42"/>
        <v>22256.521381249997</v>
      </c>
      <c r="F1109" s="30">
        <f t="shared" ca="1" si="42"/>
        <v>22426.274510429022</v>
      </c>
      <c r="G1109" s="30">
        <f t="shared" ca="1" si="42"/>
        <v>22590.60497020372</v>
      </c>
      <c r="H1109" s="30">
        <f t="shared" ca="1" si="42"/>
        <v>22749.135531398133</v>
      </c>
    </row>
    <row r="1110" spans="2:8">
      <c r="B1110" s="152">
        <f t="shared" si="40"/>
        <v>0</v>
      </c>
      <c r="D1110" s="30">
        <f t="shared" ca="1" si="42"/>
        <v>536922.7697437501</v>
      </c>
      <c r="E1110" s="30">
        <f t="shared" ca="1" si="42"/>
        <v>541017.94341128715</v>
      </c>
      <c r="F1110" s="30">
        <f t="shared" ca="1" si="42"/>
        <v>544982.2990311113</v>
      </c>
      <c r="G1110" s="30">
        <f t="shared" ca="1" si="42"/>
        <v>548806.73621729459</v>
      </c>
      <c r="H1110" s="30">
        <f t="shared" ca="1" si="42"/>
        <v>552481.78132589255</v>
      </c>
    </row>
    <row r="1111" spans="2:8">
      <c r="B1111" s="152">
        <f t="shared" si="40"/>
        <v>0</v>
      </c>
      <c r="D1111" s="30">
        <f t="shared" ca="1" si="42"/>
        <v>0</v>
      </c>
      <c r="E1111" s="30">
        <f t="shared" ca="1" si="42"/>
        <v>165096.10883749998</v>
      </c>
      <c r="F1111" s="30">
        <f t="shared" ca="1" si="42"/>
        <v>166355.31644727752</v>
      </c>
      <c r="G1111" s="30">
        <f t="shared" ca="1" si="42"/>
        <v>167574.29936952051</v>
      </c>
      <c r="H1111" s="30">
        <f t="shared" ca="1" si="42"/>
        <v>168750.25936509611</v>
      </c>
    </row>
    <row r="1112" spans="2:8">
      <c r="B1112" s="152">
        <f t="shared" si="40"/>
        <v>0</v>
      </c>
      <c r="D1112" s="30">
        <f t="shared" ca="1" si="42"/>
        <v>0</v>
      </c>
      <c r="E1112" s="30">
        <f t="shared" ca="1" si="42"/>
        <v>0</v>
      </c>
      <c r="F1112" s="30">
        <f t="shared" ca="1" si="42"/>
        <v>649318.8299846201</v>
      </c>
      <c r="G1112" s="30">
        <f t="shared" ca="1" si="42"/>
        <v>642601.73863995157</v>
      </c>
      <c r="H1112" s="30">
        <f t="shared" ca="1" si="42"/>
        <v>635142.96845930931</v>
      </c>
    </row>
    <row r="1113" spans="2:8">
      <c r="B1113" s="152">
        <f t="shared" si="40"/>
        <v>0</v>
      </c>
      <c r="D1113" s="30">
        <f t="shared" ca="1" si="42"/>
        <v>16535.906560416672</v>
      </c>
      <c r="E1113" s="30">
        <f t="shared" ca="1" si="42"/>
        <v>16662.027881640188</v>
      </c>
      <c r="F1113" s="30">
        <f t="shared" ca="1" si="42"/>
        <v>16784.120327324621</v>
      </c>
      <c r="G1113" s="30">
        <f t="shared" ca="1" si="42"/>
        <v>16901.90362786725</v>
      </c>
      <c r="H1113" s="30">
        <f t="shared" ca="1" si="42"/>
        <v>17015.086018232432</v>
      </c>
    </row>
    <row r="1114" spans="2:8">
      <c r="B1114" s="152">
        <f t="shared" si="40"/>
        <v>0</v>
      </c>
      <c r="D1114" s="30">
        <f t="shared" ca="1" si="42"/>
        <v>0</v>
      </c>
      <c r="E1114" s="30">
        <f t="shared" ca="1" si="42"/>
        <v>185027.87032583333</v>
      </c>
      <c r="F1114" s="30">
        <f t="shared" ca="1" si="42"/>
        <v>186439.09984526766</v>
      </c>
      <c r="G1114" s="30">
        <f t="shared" ca="1" si="42"/>
        <v>187805.24842172005</v>
      </c>
      <c r="H1114" s="30">
        <f t="shared" ca="1" si="42"/>
        <v>189123.17998959179</v>
      </c>
    </row>
    <row r="1115" spans="2:8">
      <c r="B1115" s="152">
        <f t="shared" si="40"/>
        <v>0</v>
      </c>
      <c r="D1115" s="30">
        <f t="shared" ca="1" si="42"/>
        <v>0</v>
      </c>
      <c r="E1115" s="30">
        <f t="shared" ca="1" si="42"/>
        <v>0</v>
      </c>
      <c r="F1115" s="30">
        <f t="shared" ca="1" si="42"/>
        <v>216905.19791666666</v>
      </c>
      <c r="G1115" s="30">
        <f t="shared" ca="1" si="42"/>
        <v>218559.55959569209</v>
      </c>
      <c r="H1115" s="30">
        <f t="shared" ca="1" si="42"/>
        <v>220161.07360997086</v>
      </c>
    </row>
    <row r="1116" spans="2:8">
      <c r="B1116" s="152">
        <f t="shared" si="40"/>
        <v>0</v>
      </c>
      <c r="D1116" s="30">
        <f t="shared" ca="1" si="42"/>
        <v>157297.56129583338</v>
      </c>
      <c r="E1116" s="30">
        <f t="shared" ca="1" si="42"/>
        <v>158497.28845825922</v>
      </c>
      <c r="F1116" s="30">
        <f t="shared" ca="1" si="42"/>
        <v>159658.69100299646</v>
      </c>
      <c r="G1116" s="30">
        <f t="shared" ca="1" si="42"/>
        <v>160779.10286968417</v>
      </c>
      <c r="H1116" s="30">
        <f t="shared" ca="1" si="42"/>
        <v>161855.74864782937</v>
      </c>
    </row>
    <row r="1117" spans="2:8">
      <c r="B1117" s="152">
        <f t="shared" si="40"/>
        <v>0</v>
      </c>
      <c r="D1117" s="30">
        <f t="shared" ca="1" si="42"/>
        <v>0</v>
      </c>
      <c r="E1117" s="30">
        <f t="shared" ca="1" si="42"/>
        <v>115807.196125</v>
      </c>
      <c r="F1117" s="30">
        <f t="shared" ca="1" si="42"/>
        <v>116690.47134968221</v>
      </c>
      <c r="G1117" s="30">
        <f t="shared" ca="1" si="42"/>
        <v>117545.53083802039</v>
      </c>
      <c r="H1117" s="30">
        <f t="shared" ca="1" si="42"/>
        <v>118370.41175618194</v>
      </c>
    </row>
    <row r="1118" spans="2:8">
      <c r="B1118" s="152">
        <f t="shared" si="40"/>
        <v>0</v>
      </c>
      <c r="D1118" s="30">
        <f t="shared" ca="1" si="42"/>
        <v>0</v>
      </c>
      <c r="E1118" s="30">
        <f t="shared" ca="1" si="42"/>
        <v>0</v>
      </c>
      <c r="F1118" s="30">
        <f t="shared" ca="1" si="42"/>
        <v>0</v>
      </c>
      <c r="G1118" s="30">
        <f t="shared" ca="1" si="42"/>
        <v>262730.87604166666</v>
      </c>
      <c r="H1118" s="30">
        <f t="shared" ca="1" si="42"/>
        <v>264734.75560469634</v>
      </c>
    </row>
    <row r="1119" spans="2:8">
      <c r="B1119" s="152">
        <f t="shared" si="40"/>
        <v>0</v>
      </c>
      <c r="D1119" s="30">
        <f t="shared" ca="1" si="42"/>
        <v>121438.27794166675</v>
      </c>
      <c r="E1119" s="30">
        <f t="shared" ca="1" si="42"/>
        <v>122364.50209545913</v>
      </c>
      <c r="F1119" s="30">
        <f t="shared" ca="1" si="42"/>
        <v>123261.13853322758</v>
      </c>
      <c r="G1119" s="30">
        <f t="shared" ca="1" si="42"/>
        <v>124126.1289790748</v>
      </c>
      <c r="H1119" s="30">
        <f t="shared" ca="1" si="42"/>
        <v>124957.33073563111</v>
      </c>
    </row>
    <row r="1120" spans="2:8">
      <c r="B1120" s="152">
        <f t="shared" si="40"/>
        <v>0</v>
      </c>
      <c r="D1120" s="30">
        <f t="shared" ca="1" si="42"/>
        <v>101088.40394999996</v>
      </c>
      <c r="E1120" s="30">
        <f t="shared" ca="1" si="42"/>
        <v>101859.41720046606</v>
      </c>
      <c r="F1120" s="30">
        <f t="shared" ca="1" si="42"/>
        <v>102605.80086098672</v>
      </c>
      <c r="G1120" s="30">
        <f t="shared" ca="1" si="42"/>
        <v>103325.84156878313</v>
      </c>
      <c r="H1120" s="30">
        <f t="shared" ca="1" si="42"/>
        <v>104017.75568643122</v>
      </c>
    </row>
    <row r="1121" spans="2:8">
      <c r="B1121" s="152">
        <f t="shared" si="40"/>
        <v>0</v>
      </c>
      <c r="D1121" s="30">
        <f t="shared" ca="1" si="42"/>
        <v>71180.05629218751</v>
      </c>
      <c r="E1121" s="30">
        <f t="shared" ca="1" si="42"/>
        <v>72036.018994435333</v>
      </c>
      <c r="F1121" s="30">
        <f t="shared" ca="1" si="42"/>
        <v>72890.292296612941</v>
      </c>
      <c r="G1121" s="30">
        <f t="shared" ca="1" si="42"/>
        <v>73742.256752027897</v>
      </c>
      <c r="H1121" s="30">
        <f t="shared" ca="1" si="42"/>
        <v>74591.262997528218</v>
      </c>
    </row>
    <row r="1122" spans="2:8">
      <c r="B1122" s="152">
        <f t="shared" si="40"/>
        <v>0</v>
      </c>
      <c r="D1122" s="30">
        <f t="shared" ref="D1122:H1137" ca="1" si="43">D287+D454+D788+D955+D621</f>
        <v>136881.24061250003</v>
      </c>
      <c r="E1122" s="30">
        <f t="shared" ca="1" si="43"/>
        <v>124714.01922472224</v>
      </c>
      <c r="F1122" s="30">
        <f t="shared" ca="1" si="43"/>
        <v>111852.88599217276</v>
      </c>
      <c r="G1122" s="30">
        <f t="shared" ca="1" si="43"/>
        <v>98270.749835980343</v>
      </c>
      <c r="H1122" s="30">
        <f t="shared" ca="1" si="43"/>
        <v>83939.598818233208</v>
      </c>
    </row>
    <row r="1123" spans="2:8">
      <c r="B1123" s="152">
        <f t="shared" si="40"/>
        <v>0</v>
      </c>
      <c r="D1123" s="30">
        <f t="shared" ca="1" si="43"/>
        <v>22575.962500000001</v>
      </c>
      <c r="E1123" s="30">
        <f t="shared" ca="1" si="43"/>
        <v>17355.271171875</v>
      </c>
      <c r="F1123" s="30">
        <f t="shared" ca="1" si="43"/>
        <v>11859.43530078125</v>
      </c>
      <c r="G1123" s="30">
        <f t="shared" ca="1" si="43"/>
        <v>6077.9605916503906</v>
      </c>
      <c r="H1123" s="30">
        <f t="shared" ca="1" si="43"/>
        <v>0</v>
      </c>
    </row>
    <row r="1124" spans="2:8">
      <c r="B1124" s="152">
        <f t="shared" si="40"/>
        <v>0</v>
      </c>
      <c r="D1124" s="30">
        <f t="shared" ca="1" si="43"/>
        <v>0</v>
      </c>
      <c r="E1124" s="30">
        <f t="shared" ca="1" si="43"/>
        <v>210341.66666666666</v>
      </c>
      <c r="F1124" s="30">
        <f t="shared" ca="1" si="43"/>
        <v>200200.19345238095</v>
      </c>
      <c r="G1124" s="30">
        <f t="shared" ca="1" si="43"/>
        <v>189420.18303571429</v>
      </c>
      <c r="H1124" s="30">
        <f t="shared" ca="1" si="43"/>
        <v>177976.04697730654</v>
      </c>
    </row>
    <row r="1125" spans="2:8">
      <c r="B1125" s="152">
        <f t="shared" si="40"/>
        <v>0</v>
      </c>
      <c r="D1125" s="30">
        <f t="shared" ca="1" si="43"/>
        <v>523253.02119999996</v>
      </c>
      <c r="E1125" s="30">
        <f t="shared" ca="1" si="43"/>
        <v>402250.76004750002</v>
      </c>
      <c r="F1125" s="30">
        <f t="shared" ca="1" si="43"/>
        <v>274871.35269912507</v>
      </c>
      <c r="G1125" s="30">
        <f t="shared" ca="1" si="43"/>
        <v>140871.56825830159</v>
      </c>
      <c r="H1125" s="30">
        <f t="shared" ca="1" si="43"/>
        <v>0</v>
      </c>
    </row>
    <row r="1126" spans="2:8">
      <c r="B1126" s="152">
        <f t="shared" si="40"/>
        <v>0</v>
      </c>
      <c r="D1126" s="30">
        <f t="shared" ca="1" si="43"/>
        <v>0</v>
      </c>
      <c r="E1126" s="30">
        <f t="shared" ca="1" si="43"/>
        <v>381745.00000000006</v>
      </c>
      <c r="F1126" s="30">
        <f t="shared" ca="1" si="43"/>
        <v>293466.46875000006</v>
      </c>
      <c r="G1126" s="30">
        <f t="shared" ca="1" si="43"/>
        <v>200535.42031250003</v>
      </c>
      <c r="H1126" s="30">
        <f t="shared" ca="1" si="43"/>
        <v>102774.40291015626</v>
      </c>
    </row>
    <row r="1127" spans="2:8">
      <c r="B1127" s="152">
        <f t="shared" si="40"/>
        <v>0</v>
      </c>
      <c r="D1127" s="30">
        <f t="shared" ca="1" si="43"/>
        <v>0</v>
      </c>
      <c r="E1127" s="30">
        <f t="shared" ca="1" si="43"/>
        <v>0</v>
      </c>
      <c r="F1127" s="30">
        <f t="shared" ca="1" si="43"/>
        <v>409500</v>
      </c>
      <c r="G1127" s="30">
        <f t="shared" ca="1" si="43"/>
        <v>314803.125</v>
      </c>
      <c r="H1127" s="30">
        <f t="shared" ca="1" si="43"/>
        <v>215115.46875</v>
      </c>
    </row>
    <row r="1128" spans="2:8">
      <c r="B1128" s="152">
        <f t="shared" si="40"/>
        <v>0</v>
      </c>
      <c r="D1128" s="30">
        <f t="shared" ca="1" si="43"/>
        <v>0</v>
      </c>
      <c r="E1128" s="30">
        <f t="shared" ca="1" si="43"/>
        <v>0</v>
      </c>
      <c r="F1128" s="30">
        <f t="shared" ca="1" si="43"/>
        <v>0</v>
      </c>
      <c r="G1128" s="30">
        <f t="shared" ca="1" si="43"/>
        <v>409500</v>
      </c>
      <c r="H1128" s="30">
        <f t="shared" ca="1" si="43"/>
        <v>314803.125</v>
      </c>
    </row>
    <row r="1129" spans="2:8">
      <c r="B1129" s="152">
        <f t="shared" si="40"/>
        <v>0</v>
      </c>
      <c r="D1129" s="30">
        <f t="shared" ca="1" si="43"/>
        <v>0</v>
      </c>
      <c r="E1129" s="30">
        <f t="shared" ca="1" si="43"/>
        <v>0</v>
      </c>
      <c r="F1129" s="30">
        <f t="shared" ca="1" si="43"/>
        <v>0</v>
      </c>
      <c r="G1129" s="30">
        <f t="shared" ca="1" si="43"/>
        <v>0</v>
      </c>
      <c r="H1129" s="30">
        <f t="shared" ca="1" si="43"/>
        <v>409500</v>
      </c>
    </row>
    <row r="1130" spans="2:8">
      <c r="B1130" s="152">
        <f t="shared" si="40"/>
        <v>0</v>
      </c>
      <c r="D1130" s="30">
        <f t="shared" ca="1" si="43"/>
        <v>450461.55700000003</v>
      </c>
      <c r="E1130" s="30">
        <f t="shared" ca="1" si="43"/>
        <v>346292.32194375002</v>
      </c>
      <c r="F1130" s="30">
        <f t="shared" ca="1" si="43"/>
        <v>236633.0866615625</v>
      </c>
      <c r="G1130" s="30">
        <f t="shared" ca="1" si="43"/>
        <v>121274.45691405078</v>
      </c>
      <c r="H1130" s="30">
        <f t="shared" ca="1" si="43"/>
        <v>0</v>
      </c>
    </row>
    <row r="1131" spans="2:8">
      <c r="B1131" s="152">
        <f t="shared" si="40"/>
        <v>0</v>
      </c>
      <c r="D1131" s="30">
        <f t="shared" ca="1" si="43"/>
        <v>0</v>
      </c>
      <c r="E1131" s="30">
        <f t="shared" ca="1" si="43"/>
        <v>538831.5625</v>
      </c>
      <c r="F1131" s="30">
        <f t="shared" ca="1" si="43"/>
        <v>538140.75280448713</v>
      </c>
      <c r="G1131" s="30">
        <f t="shared" ca="1" si="43"/>
        <v>537078.63289763615</v>
      </c>
      <c r="H1131" s="30">
        <f t="shared" ca="1" si="43"/>
        <v>535627.0690249399</v>
      </c>
    </row>
    <row r="1132" spans="2:8">
      <c r="B1132" s="152">
        <f t="shared" si="40"/>
        <v>0</v>
      </c>
      <c r="D1132" s="30">
        <f t="shared" ca="1" si="43"/>
        <v>0</v>
      </c>
      <c r="E1132" s="30">
        <f t="shared" ca="1" si="43"/>
        <v>38121.4033375</v>
      </c>
      <c r="F1132" s="30">
        <f t="shared" ca="1" si="43"/>
        <v>38072.529743477564</v>
      </c>
      <c r="G1132" s="30">
        <f t="shared" ca="1" si="43"/>
        <v>37997.386592668074</v>
      </c>
      <c r="H1132" s="30">
        <f t="shared" ca="1" si="43"/>
        <v>37894.690953228434</v>
      </c>
    </row>
    <row r="1133" spans="2:8">
      <c r="B1133" s="152">
        <f t="shared" si="40"/>
        <v>0</v>
      </c>
      <c r="D1133" s="30">
        <f t="shared" ca="1" si="43"/>
        <v>0</v>
      </c>
      <c r="E1133" s="30">
        <f t="shared" ca="1" si="43"/>
        <v>426842.57</v>
      </c>
      <c r="F1133" s="30">
        <f t="shared" ca="1" si="43"/>
        <v>426295.33593589743</v>
      </c>
      <c r="G1133" s="30">
        <f t="shared" ca="1" si="43"/>
        <v>425453.96356233972</v>
      </c>
      <c r="H1133" s="30">
        <f t="shared" ca="1" si="43"/>
        <v>424304.08798514423</v>
      </c>
    </row>
    <row r="1134" spans="2:8">
      <c r="B1134" s="152">
        <f t="shared" si="40"/>
        <v>0</v>
      </c>
      <c r="D1134" s="30">
        <f t="shared" ca="1" si="43"/>
        <v>0</v>
      </c>
      <c r="E1134" s="30">
        <f t="shared" ca="1" si="43"/>
        <v>1263291.098125</v>
      </c>
      <c r="F1134" s="30">
        <f t="shared" ca="1" si="43"/>
        <v>1261671.4941530449</v>
      </c>
      <c r="G1134" s="30">
        <f t="shared" ca="1" si="43"/>
        <v>1259181.3530461639</v>
      </c>
      <c r="H1134" s="30">
        <f t="shared" ca="1" si="43"/>
        <v>1255778.1602000934</v>
      </c>
    </row>
    <row r="1135" spans="2:8">
      <c r="B1135" s="152">
        <f t="shared" si="40"/>
        <v>0</v>
      </c>
      <c r="D1135" s="30">
        <f t="shared" ca="1" si="43"/>
        <v>0</v>
      </c>
      <c r="E1135" s="30">
        <f t="shared" ca="1" si="43"/>
        <v>519037.75</v>
      </c>
      <c r="F1135" s="30">
        <f t="shared" ca="1" si="43"/>
        <v>518372.31698717945</v>
      </c>
      <c r="G1135" s="30">
        <f t="shared" ca="1" si="43"/>
        <v>517349.21372996789</v>
      </c>
      <c r="H1135" s="30">
        <f t="shared" ca="1" si="43"/>
        <v>515950.97261177882</v>
      </c>
    </row>
    <row r="1136" spans="2:8">
      <c r="B1136" s="152">
        <f t="shared" si="40"/>
        <v>0</v>
      </c>
      <c r="D1136" s="30">
        <f t="shared" ca="1" si="43"/>
        <v>0</v>
      </c>
      <c r="E1136" s="30">
        <f t="shared" ca="1" si="43"/>
        <v>324398.59375</v>
      </c>
      <c r="F1136" s="30">
        <f t="shared" ca="1" si="43"/>
        <v>323982.69811698719</v>
      </c>
      <c r="G1136" s="30">
        <f t="shared" ca="1" si="43"/>
        <v>323343.25858122995</v>
      </c>
      <c r="H1136" s="30">
        <f t="shared" ca="1" si="43"/>
        <v>322469.35788236174</v>
      </c>
    </row>
    <row r="1137" spans="2:8">
      <c r="B1137" s="152">
        <f t="shared" si="40"/>
        <v>0</v>
      </c>
      <c r="D1137" s="30">
        <f t="shared" ca="1" si="43"/>
        <v>62814.376699999986</v>
      </c>
      <c r="E1137" s="30">
        <f t="shared" ca="1" si="43"/>
        <v>63569.739457784795</v>
      </c>
      <c r="F1137" s="30">
        <f t="shared" ca="1" si="43"/>
        <v>64323.611368021346</v>
      </c>
      <c r="G1137" s="30">
        <f t="shared" ca="1" si="43"/>
        <v>65075.445786608609</v>
      </c>
      <c r="H1137" s="30">
        <f t="shared" ca="1" si="43"/>
        <v>65824.669669020222</v>
      </c>
    </row>
    <row r="1138" spans="2:8">
      <c r="B1138" s="152">
        <f t="shared" si="40"/>
        <v>0</v>
      </c>
      <c r="D1138" s="30">
        <f t="shared" ref="D1138:H1153" ca="1" si="44">D303+D470+D804+D971+D637</f>
        <v>0</v>
      </c>
      <c r="E1138" s="30">
        <f t="shared" ca="1" si="44"/>
        <v>254800</v>
      </c>
      <c r="F1138" s="30">
        <f t="shared" ca="1" si="44"/>
        <v>195877.5</v>
      </c>
      <c r="G1138" s="30">
        <f t="shared" ca="1" si="44"/>
        <v>133849.625</v>
      </c>
      <c r="H1138" s="30">
        <f t="shared" ca="1" si="44"/>
        <v>68597.932812500003</v>
      </c>
    </row>
    <row r="1139" spans="2:8">
      <c r="B1139" s="152">
        <f t="shared" si="40"/>
        <v>0</v>
      </c>
      <c r="D1139" s="30">
        <f t="shared" ca="1" si="44"/>
        <v>34265.5039875</v>
      </c>
      <c r="E1139" s="30">
        <f t="shared" ca="1" si="44"/>
        <v>33273.607819440789</v>
      </c>
      <c r="F1139" s="30">
        <f t="shared" ca="1" si="44"/>
        <v>32210.700902986428</v>
      </c>
      <c r="G1139" s="30">
        <f t="shared" ca="1" si="44"/>
        <v>31073.852635822204</v>
      </c>
      <c r="H1139" s="30">
        <f t="shared" ca="1" si="44"/>
        <v>29860.030267235401</v>
      </c>
    </row>
    <row r="1140" spans="2:8">
      <c r="B1140" s="152">
        <f t="shared" si="40"/>
        <v>0</v>
      </c>
      <c r="D1140" s="30">
        <f t="shared" ca="1" si="44"/>
        <v>4965.8674703124998</v>
      </c>
      <c r="E1140" s="30">
        <f t="shared" ca="1" si="44"/>
        <v>5025.5835981200553</v>
      </c>
      <c r="F1140" s="30">
        <f t="shared" ca="1" si="44"/>
        <v>5085.181865149043</v>
      </c>
      <c r="G1140" s="30">
        <f t="shared" ca="1" si="44"/>
        <v>5144.6190557806558</v>
      </c>
      <c r="H1140" s="30">
        <f t="shared" ca="1" si="44"/>
        <v>5203.8498672781298</v>
      </c>
    </row>
    <row r="1141" spans="2:8">
      <c r="B1141" s="152">
        <f t="shared" si="40"/>
        <v>0</v>
      </c>
      <c r="D1141" s="30">
        <f t="shared" ca="1" si="44"/>
        <v>100892.65119062502</v>
      </c>
      <c r="E1141" s="30">
        <f t="shared" ca="1" si="44"/>
        <v>100763.30163781653</v>
      </c>
      <c r="F1141" s="30">
        <f t="shared" ca="1" si="44"/>
        <v>100564.42670037347</v>
      </c>
      <c r="G1141" s="30">
        <f t="shared" ca="1" si="44"/>
        <v>100292.63095253462</v>
      </c>
      <c r="H1141" s="30">
        <f t="shared" ca="1" si="44"/>
        <v>99944.392650616093</v>
      </c>
    </row>
    <row r="1142" spans="2:8">
      <c r="B1142" s="152">
        <f t="shared" si="40"/>
        <v>0</v>
      </c>
      <c r="D1142" s="30">
        <f t="shared" ca="1" si="44"/>
        <v>8463.2683541666665</v>
      </c>
      <c r="E1142" s="30">
        <f t="shared" ca="1" si="44"/>
        <v>8527.81870602048</v>
      </c>
      <c r="F1142" s="30">
        <f t="shared" ca="1" si="44"/>
        <v>8590.3070327456298</v>
      </c>
      <c r="G1142" s="30">
        <f t="shared" ca="1" si="44"/>
        <v>8650.589889115774</v>
      </c>
      <c r="H1142" s="30">
        <f t="shared" ca="1" si="44"/>
        <v>8708.5179464089597</v>
      </c>
    </row>
    <row r="1143" spans="2:8">
      <c r="B1143" s="152">
        <f t="shared" si="40"/>
        <v>0</v>
      </c>
      <c r="D1143" s="30">
        <f t="shared" ca="1" si="44"/>
        <v>35150.38837500001</v>
      </c>
      <c r="E1143" s="30">
        <f t="shared" ca="1" si="44"/>
        <v>35418.484557521195</v>
      </c>
      <c r="F1143" s="30">
        <f t="shared" ca="1" si="44"/>
        <v>35678.016556434071</v>
      </c>
      <c r="G1143" s="30">
        <f t="shared" ca="1" si="44"/>
        <v>35928.388602444138</v>
      </c>
      <c r="H1143" s="30">
        <f t="shared" ca="1" si="44"/>
        <v>36168.980490406931</v>
      </c>
    </row>
    <row r="1144" spans="2:8">
      <c r="B1144" s="152">
        <f t="shared" si="40"/>
        <v>0</v>
      </c>
      <c r="D1144" s="30">
        <f t="shared" ca="1" si="44"/>
        <v>0</v>
      </c>
      <c r="E1144" s="30">
        <f t="shared" ca="1" si="44"/>
        <v>55217.708333333336</v>
      </c>
      <c r="F1144" s="30">
        <f t="shared" ca="1" si="44"/>
        <v>55638.8603460452</v>
      </c>
      <c r="G1144" s="30">
        <f t="shared" ca="1" si="44"/>
        <v>56046.558891684319</v>
      </c>
      <c r="H1144" s="30">
        <f t="shared" ca="1" si="44"/>
        <v>56439.868076889121</v>
      </c>
    </row>
    <row r="1145" spans="2:8">
      <c r="B1145" s="152">
        <f t="shared" si="40"/>
        <v>0</v>
      </c>
      <c r="D1145" s="30">
        <f t="shared" ca="1" si="44"/>
        <v>0</v>
      </c>
      <c r="E1145" s="30">
        <f t="shared" ca="1" si="44"/>
        <v>0</v>
      </c>
      <c r="F1145" s="30">
        <f t="shared" ca="1" si="44"/>
        <v>20079.166666666668</v>
      </c>
      <c r="G1145" s="30">
        <f t="shared" ca="1" si="44"/>
        <v>20232.312853107345</v>
      </c>
      <c r="H1145" s="30">
        <f t="shared" ca="1" si="44"/>
        <v>20380.566869703391</v>
      </c>
    </row>
    <row r="1146" spans="2:8">
      <c r="B1146" s="152">
        <f t="shared" si="40"/>
        <v>0</v>
      </c>
      <c r="D1146" s="30">
        <f t="shared" ca="1" si="44"/>
        <v>0</v>
      </c>
      <c r="E1146" s="30">
        <f t="shared" ca="1" si="44"/>
        <v>0</v>
      </c>
      <c r="F1146" s="30">
        <f t="shared" ca="1" si="44"/>
        <v>0</v>
      </c>
      <c r="G1146" s="30">
        <f t="shared" ca="1" si="44"/>
        <v>20079.166666666668</v>
      </c>
      <c r="H1146" s="30">
        <f t="shared" ca="1" si="44"/>
        <v>20232.312853107345</v>
      </c>
    </row>
    <row r="1147" spans="2:8">
      <c r="B1147" s="152">
        <f t="shared" si="40"/>
        <v>0</v>
      </c>
      <c r="D1147" s="30">
        <f t="shared" ca="1" si="44"/>
        <v>0</v>
      </c>
      <c r="E1147" s="30">
        <f t="shared" ca="1" si="44"/>
        <v>0</v>
      </c>
      <c r="F1147" s="30">
        <f t="shared" ca="1" si="44"/>
        <v>0</v>
      </c>
      <c r="G1147" s="30">
        <f t="shared" ca="1" si="44"/>
        <v>0</v>
      </c>
      <c r="H1147" s="30">
        <f t="shared" ca="1" si="44"/>
        <v>20079.166666666668</v>
      </c>
    </row>
    <row r="1148" spans="2:8">
      <c r="B1148" s="152">
        <f t="shared" si="40"/>
        <v>0</v>
      </c>
      <c r="D1148" s="30">
        <f t="shared" ca="1" si="44"/>
        <v>34416.91135312499</v>
      </c>
      <c r="E1148" s="30">
        <f t="shared" ca="1" si="44"/>
        <v>34372.787107800468</v>
      </c>
      <c r="F1148" s="30">
        <f t="shared" ca="1" si="44"/>
        <v>34304.94608061402</v>
      </c>
      <c r="G1148" s="30">
        <f t="shared" ca="1" si="44"/>
        <v>34212.230010125873</v>
      </c>
      <c r="H1148" s="30">
        <f t="shared" ca="1" si="44"/>
        <v>34093.437544812936</v>
      </c>
    </row>
    <row r="1149" spans="2:8">
      <c r="B1149" s="152">
        <f t="shared" si="40"/>
        <v>0</v>
      </c>
      <c r="D1149" s="30">
        <f t="shared" ca="1" si="44"/>
        <v>1147342.5681854167</v>
      </c>
      <c r="E1149" s="30">
        <f t="shared" ca="1" si="44"/>
        <v>1156093.4860783564</v>
      </c>
      <c r="F1149" s="30">
        <f t="shared" ca="1" si="44"/>
        <v>1164564.8607608271</v>
      </c>
      <c r="G1149" s="30">
        <f t="shared" ca="1" si="44"/>
        <v>1172737.2457486223</v>
      </c>
      <c r="H1149" s="30">
        <f t="shared" ca="1" si="44"/>
        <v>1180590.3969478318</v>
      </c>
    </row>
    <row r="1150" spans="2:8">
      <c r="B1150" s="152">
        <f t="shared" si="40"/>
        <v>0</v>
      </c>
      <c r="D1150" s="30">
        <f t="shared" ca="1" si="44"/>
        <v>0</v>
      </c>
      <c r="E1150" s="30">
        <f t="shared" ca="1" si="44"/>
        <v>20537.975624999999</v>
      </c>
      <c r="F1150" s="30">
        <f t="shared" ca="1" si="44"/>
        <v>20694.621201800845</v>
      </c>
      <c r="G1150" s="30">
        <f t="shared" ca="1" si="44"/>
        <v>20846.262822676112</v>
      </c>
      <c r="H1150" s="30">
        <f t="shared" ca="1" si="44"/>
        <v>20992.552386344014</v>
      </c>
    </row>
    <row r="1151" spans="2:8">
      <c r="B1151" s="152">
        <f t="shared" si="40"/>
        <v>0</v>
      </c>
      <c r="D1151" s="30">
        <f t="shared" ca="1" si="44"/>
        <v>118060.0931</v>
      </c>
      <c r="E1151" s="30">
        <f t="shared" ca="1" si="44"/>
        <v>114642.56408921053</v>
      </c>
      <c r="F1151" s="30">
        <f t="shared" ca="1" si="44"/>
        <v>110980.37106969408</v>
      </c>
      <c r="G1151" s="30">
        <f t="shared" ca="1" si="44"/>
        <v>107063.41679664605</v>
      </c>
      <c r="H1151" s="30">
        <f t="shared" ca="1" si="44"/>
        <v>102881.25207802707</v>
      </c>
    </row>
    <row r="1152" spans="2:8">
      <c r="B1152" s="152">
        <f t="shared" si="40"/>
        <v>0</v>
      </c>
      <c r="D1152" s="30">
        <f t="shared" ca="1" si="44"/>
        <v>0</v>
      </c>
      <c r="E1152" s="30">
        <f t="shared" ca="1" si="44"/>
        <v>39342.758750000001</v>
      </c>
      <c r="F1152" s="30">
        <f t="shared" ca="1" si="44"/>
        <v>38203.889417763159</v>
      </c>
      <c r="G1152" s="30">
        <f t="shared" ca="1" si="44"/>
        <v>36983.48739469573</v>
      </c>
      <c r="H1152" s="30">
        <f t="shared" ca="1" si="44"/>
        <v>35678.18783958882</v>
      </c>
    </row>
    <row r="1153" spans="2:8">
      <c r="B1153" s="152">
        <f t="shared" si="40"/>
        <v>0</v>
      </c>
      <c r="D1153" s="30">
        <f t="shared" ca="1" si="44"/>
        <v>0</v>
      </c>
      <c r="E1153" s="30">
        <f t="shared" ca="1" si="44"/>
        <v>0</v>
      </c>
      <c r="F1153" s="30">
        <f t="shared" ca="1" si="44"/>
        <v>0</v>
      </c>
      <c r="G1153" s="30">
        <f t="shared" ca="1" si="44"/>
        <v>0</v>
      </c>
      <c r="H1153" s="30">
        <f t="shared" ca="1" si="44"/>
        <v>0</v>
      </c>
    </row>
    <row r="1154" spans="2:8">
      <c r="B1154" s="152">
        <f t="shared" ref="B1154:B1187" si="45">B987</f>
        <v>0</v>
      </c>
      <c r="D1154" s="30">
        <f t="shared" ref="D1154:H1169" ca="1" si="46">D319+D486+D820+D987+D653</f>
        <v>122099.81656875</v>
      </c>
      <c r="E1154" s="30">
        <f t="shared" ca="1" si="46"/>
        <v>118565.34819439145</v>
      </c>
      <c r="F1154" s="30">
        <f t="shared" ca="1" si="46"/>
        <v>114777.8440159595</v>
      </c>
      <c r="G1154" s="30">
        <f t="shared" ca="1" si="46"/>
        <v>110726.86128598446</v>
      </c>
      <c r="H1154" s="30">
        <f t="shared" ca="1" si="46"/>
        <v>106401.59326700069</v>
      </c>
    </row>
    <row r="1155" spans="2:8">
      <c r="B1155" s="152">
        <f t="shared" si="45"/>
        <v>0</v>
      </c>
      <c r="D1155" s="30">
        <f t="shared" ca="1" si="46"/>
        <v>0</v>
      </c>
      <c r="E1155" s="30">
        <f t="shared" ca="1" si="46"/>
        <v>932214.30303750001</v>
      </c>
      <c r="F1155" s="30">
        <f t="shared" ca="1" si="46"/>
        <v>905229.15216009878</v>
      </c>
      <c r="G1155" s="30">
        <f t="shared" ca="1" si="46"/>
        <v>876312.10979942896</v>
      </c>
      <c r="H1155" s="30">
        <f t="shared" ca="1" si="46"/>
        <v>845383.44710062549</v>
      </c>
    </row>
    <row r="1156" spans="2:8">
      <c r="B1156" s="152">
        <f t="shared" si="45"/>
        <v>0</v>
      </c>
      <c r="D1156" s="30">
        <f t="shared" ca="1" si="46"/>
        <v>0</v>
      </c>
      <c r="E1156" s="30">
        <f t="shared" ca="1" si="46"/>
        <v>0</v>
      </c>
      <c r="F1156" s="30">
        <f t="shared" ca="1" si="46"/>
        <v>37200.253125000003</v>
      </c>
      <c r="G1156" s="30">
        <f t="shared" ca="1" si="46"/>
        <v>36123.403692434207</v>
      </c>
      <c r="H1156" s="30">
        <f t="shared" ca="1" si="46"/>
        <v>34969.461630037003</v>
      </c>
    </row>
    <row r="1157" spans="2:8">
      <c r="B1157" s="152">
        <f t="shared" si="45"/>
        <v>0</v>
      </c>
      <c r="D1157" s="30">
        <f t="shared" ca="1" si="46"/>
        <v>40728.858223437499</v>
      </c>
      <c r="E1157" s="30">
        <f t="shared" ca="1" si="46"/>
        <v>41218.635632453523</v>
      </c>
      <c r="F1157" s="30">
        <f t="shared" ca="1" si="46"/>
        <v>41707.446375530701</v>
      </c>
      <c r="G1157" s="30">
        <f t="shared" ca="1" si="46"/>
        <v>42194.936008491444</v>
      </c>
      <c r="H1157" s="30">
        <f t="shared" ca="1" si="46"/>
        <v>42680.732969115525</v>
      </c>
    </row>
    <row r="1158" spans="2:8">
      <c r="B1158" s="152">
        <f t="shared" si="45"/>
        <v>0</v>
      </c>
      <c r="D1158" s="30">
        <f t="shared" ca="1" si="46"/>
        <v>101565.11894375</v>
      </c>
      <c r="E1158" s="30">
        <f t="shared" ca="1" si="46"/>
        <v>98625.076026957249</v>
      </c>
      <c r="F1158" s="30">
        <f t="shared" ca="1" si="46"/>
        <v>95474.552764984997</v>
      </c>
      <c r="G1158" s="30">
        <f t="shared" ca="1" si="46"/>
        <v>92104.86266739729</v>
      </c>
      <c r="H1158" s="30">
        <f t="shared" ca="1" si="46"/>
        <v>88507.016469452079</v>
      </c>
    </row>
    <row r="1159" spans="2:8">
      <c r="B1159" s="152">
        <f t="shared" si="45"/>
        <v>0</v>
      </c>
      <c r="D1159" s="30">
        <f t="shared" ca="1" si="46"/>
        <v>805762.88283749949</v>
      </c>
      <c r="E1159" s="30">
        <f t="shared" ca="1" si="46"/>
        <v>811908.53194388724</v>
      </c>
      <c r="F1159" s="30">
        <f t="shared" ca="1" si="46"/>
        <v>817857.86170382088</v>
      </c>
      <c r="G1159" s="30">
        <f t="shared" ca="1" si="46"/>
        <v>823597.21511928632</v>
      </c>
      <c r="H1159" s="30">
        <f t="shared" ca="1" si="46"/>
        <v>829112.37504196016</v>
      </c>
    </row>
    <row r="1160" spans="2:8">
      <c r="B1160" s="152">
        <f t="shared" si="45"/>
        <v>0</v>
      </c>
      <c r="D1160" s="30">
        <f t="shared" ca="1" si="46"/>
        <v>0</v>
      </c>
      <c r="E1160" s="30">
        <f t="shared" ca="1" si="46"/>
        <v>1211366.7480291666</v>
      </c>
      <c r="F1160" s="30">
        <f t="shared" ca="1" si="46"/>
        <v>1220605.9859378638</v>
      </c>
      <c r="G1160" s="30">
        <f t="shared" ca="1" si="46"/>
        <v>1229550.0815244776</v>
      </c>
      <c r="H1160" s="30">
        <f t="shared" ca="1" si="46"/>
        <v>1238178.5031492107</v>
      </c>
    </row>
    <row r="1161" spans="2:8">
      <c r="B1161" s="152">
        <f t="shared" si="45"/>
        <v>0</v>
      </c>
      <c r="D1161" s="30">
        <f t="shared" ca="1" si="46"/>
        <v>0</v>
      </c>
      <c r="E1161" s="30">
        <f t="shared" ca="1" si="46"/>
        <v>0</v>
      </c>
      <c r="F1161" s="30">
        <f t="shared" ca="1" si="46"/>
        <v>620359.9095833333</v>
      </c>
      <c r="G1161" s="30">
        <f t="shared" ca="1" si="46"/>
        <v>625091.46821574855</v>
      </c>
      <c r="H1161" s="30">
        <f t="shared" ca="1" si="46"/>
        <v>629671.87983629492</v>
      </c>
    </row>
    <row r="1162" spans="2:8">
      <c r="B1162" s="152">
        <f t="shared" si="45"/>
        <v>0</v>
      </c>
      <c r="D1162" s="30">
        <f t="shared" ca="1" si="46"/>
        <v>10547.244904166666</v>
      </c>
      <c r="E1162" s="30">
        <f t="shared" ca="1" si="46"/>
        <v>10627.689992418784</v>
      </c>
      <c r="F1162" s="30">
        <f t="shared" ca="1" si="46"/>
        <v>10705.565307018405</v>
      </c>
      <c r="G1162" s="30">
        <f t="shared" ca="1" si="46"/>
        <v>10780.692081102745</v>
      </c>
      <c r="H1162" s="30">
        <f t="shared" ca="1" si="46"/>
        <v>10852.884215574415</v>
      </c>
    </row>
    <row r="1163" spans="2:8">
      <c r="B1163" s="152">
        <f t="shared" si="45"/>
        <v>0</v>
      </c>
      <c r="D1163" s="30">
        <f t="shared" ca="1" si="46"/>
        <v>0</v>
      </c>
      <c r="E1163" s="30">
        <f t="shared" ca="1" si="46"/>
        <v>226313.29145833335</v>
      </c>
      <c r="F1163" s="30">
        <f t="shared" ca="1" si="46"/>
        <v>228039.40978301555</v>
      </c>
      <c r="G1163" s="30">
        <f t="shared" ca="1" si="46"/>
        <v>229710.3882167704</v>
      </c>
      <c r="H1163" s="30">
        <f t="shared" ca="1" si="46"/>
        <v>231322.39094109862</v>
      </c>
    </row>
    <row r="1164" spans="2:8">
      <c r="B1164" s="152">
        <f t="shared" si="45"/>
        <v>0</v>
      </c>
      <c r="D1164" s="30">
        <f t="shared" ca="1" si="46"/>
        <v>0</v>
      </c>
      <c r="E1164" s="30">
        <f t="shared" ca="1" si="46"/>
        <v>570730.93660781253</v>
      </c>
      <c r="F1164" s="30">
        <f t="shared" ca="1" si="46"/>
        <v>577594.15673157736</v>
      </c>
      <c r="G1164" s="30">
        <f t="shared" ca="1" si="46"/>
        <v>584443.8310261505</v>
      </c>
      <c r="H1164" s="30">
        <f t="shared" ca="1" si="46"/>
        <v>591274.99268749508</v>
      </c>
    </row>
    <row r="1165" spans="2:8">
      <c r="B1165" s="152">
        <f t="shared" si="45"/>
        <v>0</v>
      </c>
      <c r="D1165" s="30">
        <f t="shared" ca="1" si="46"/>
        <v>0</v>
      </c>
      <c r="E1165" s="30">
        <f t="shared" ca="1" si="46"/>
        <v>0</v>
      </c>
      <c r="F1165" s="30">
        <f t="shared" ca="1" si="46"/>
        <v>5348228.3695312496</v>
      </c>
      <c r="G1165" s="30">
        <f t="shared" ca="1" si="46"/>
        <v>5412542.5081521953</v>
      </c>
      <c r="H1165" s="30">
        <f t="shared" ca="1" si="46"/>
        <v>5476729.7109732311</v>
      </c>
    </row>
    <row r="1166" spans="2:8">
      <c r="B1166" s="152">
        <f t="shared" si="45"/>
        <v>0</v>
      </c>
      <c r="D1166" s="30">
        <f t="shared" ca="1" si="46"/>
        <v>0</v>
      </c>
      <c r="E1166" s="30">
        <f t="shared" ca="1" si="46"/>
        <v>0</v>
      </c>
      <c r="F1166" s="30">
        <f t="shared" ca="1" si="46"/>
        <v>0</v>
      </c>
      <c r="G1166" s="30">
        <f t="shared" ca="1" si="46"/>
        <v>12883759.88671875</v>
      </c>
      <c r="H1166" s="30">
        <f t="shared" ca="1" si="46"/>
        <v>13038691.176495748</v>
      </c>
    </row>
    <row r="1167" spans="2:8">
      <c r="B1167" s="152">
        <f t="shared" si="45"/>
        <v>0</v>
      </c>
      <c r="D1167" s="30">
        <f t="shared" ca="1" si="46"/>
        <v>0</v>
      </c>
      <c r="E1167" s="30">
        <f t="shared" ca="1" si="46"/>
        <v>64884.375</v>
      </c>
      <c r="F1167" s="30">
        <f t="shared" ca="1" si="46"/>
        <v>59116.875</v>
      </c>
      <c r="G1167" s="30">
        <f t="shared" ca="1" si="46"/>
        <v>53020.447265625</v>
      </c>
      <c r="H1167" s="30">
        <f t="shared" ca="1" si="46"/>
        <v>46582.250097656251</v>
      </c>
    </row>
    <row r="1168" spans="2:8">
      <c r="B1168" s="152">
        <f t="shared" si="45"/>
        <v>0</v>
      </c>
      <c r="D1168" s="30">
        <f t="shared" ca="1" si="46"/>
        <v>0</v>
      </c>
      <c r="E1168" s="30">
        <f t="shared" ca="1" si="46"/>
        <v>758095.52109375002</v>
      </c>
      <c r="F1168" s="30">
        <f t="shared" ca="1" si="46"/>
        <v>757123.60375901451</v>
      </c>
      <c r="G1168" s="30">
        <f t="shared" ca="1" si="46"/>
        <v>755629.28085685859</v>
      </c>
      <c r="H1168" s="30">
        <f t="shared" ca="1" si="46"/>
        <v>753587.03955724544</v>
      </c>
    </row>
    <row r="1169" spans="2:8">
      <c r="B1169" s="152" t="str">
        <f t="shared" si="45"/>
        <v>Carndo Year 4 Reduction</v>
      </c>
      <c r="D1169" s="30">
        <f t="shared" ca="1" si="46"/>
        <v>0</v>
      </c>
      <c r="E1169" s="30">
        <f t="shared" ca="1" si="46"/>
        <v>0</v>
      </c>
      <c r="F1169" s="30">
        <f t="shared" ca="1" si="46"/>
        <v>0</v>
      </c>
      <c r="G1169" s="30">
        <f t="shared" ca="1" si="46"/>
        <v>-7891985.548009593</v>
      </c>
      <c r="H1169" s="30">
        <f t="shared" ca="1" si="46"/>
        <v>-7829758.2090688841</v>
      </c>
    </row>
    <row r="1170" spans="2:8">
      <c r="B1170" s="152" t="str">
        <f t="shared" si="45"/>
        <v>Carndo Year 5 Reduction</v>
      </c>
      <c r="D1170" s="30">
        <f t="shared" ref="D1170:H1185" ca="1" si="47">D335+D502+D836+D1003+D669</f>
        <v>0</v>
      </c>
      <c r="E1170" s="30">
        <f t="shared" ca="1" si="47"/>
        <v>0</v>
      </c>
      <c r="F1170" s="30">
        <f t="shared" ca="1" si="47"/>
        <v>0</v>
      </c>
      <c r="G1170" s="30">
        <f t="shared" ca="1" si="47"/>
        <v>0</v>
      </c>
      <c r="H1170" s="30">
        <f t="shared" ca="1" si="47"/>
        <v>-6224312.2211714862</v>
      </c>
    </row>
    <row r="1171" spans="2:8">
      <c r="B1171" s="152">
        <f t="shared" si="45"/>
        <v>0</v>
      </c>
      <c r="D1171" s="30">
        <f t="shared" ca="1" si="47"/>
        <v>0</v>
      </c>
      <c r="E1171" s="30">
        <f t="shared" ca="1" si="47"/>
        <v>0</v>
      </c>
      <c r="F1171" s="30">
        <f t="shared" ca="1" si="47"/>
        <v>0</v>
      </c>
      <c r="G1171" s="30">
        <f t="shared" ca="1" si="47"/>
        <v>0</v>
      </c>
      <c r="H1171" s="30">
        <f t="shared" ca="1" si="47"/>
        <v>0</v>
      </c>
    </row>
    <row r="1172" spans="2:8">
      <c r="B1172" s="152">
        <f t="shared" si="45"/>
        <v>0</v>
      </c>
      <c r="D1172" s="30">
        <f t="shared" ca="1" si="47"/>
        <v>0</v>
      </c>
      <c r="E1172" s="30">
        <f t="shared" ca="1" si="47"/>
        <v>0</v>
      </c>
      <c r="F1172" s="30">
        <f t="shared" ca="1" si="47"/>
        <v>0</v>
      </c>
      <c r="G1172" s="30">
        <f t="shared" ca="1" si="47"/>
        <v>0</v>
      </c>
      <c r="H1172" s="30">
        <f t="shared" ca="1" si="47"/>
        <v>0</v>
      </c>
    </row>
    <row r="1173" spans="2:8">
      <c r="B1173" s="152">
        <f t="shared" si="45"/>
        <v>0</v>
      </c>
      <c r="D1173" s="30">
        <f t="shared" ca="1" si="47"/>
        <v>0</v>
      </c>
      <c r="E1173" s="30">
        <f t="shared" ca="1" si="47"/>
        <v>0</v>
      </c>
      <c r="F1173" s="30">
        <f t="shared" ca="1" si="47"/>
        <v>0</v>
      </c>
      <c r="G1173" s="30">
        <f t="shared" ca="1" si="47"/>
        <v>0</v>
      </c>
      <c r="H1173" s="30">
        <f t="shared" ca="1" si="47"/>
        <v>0</v>
      </c>
    </row>
    <row r="1174" spans="2:8">
      <c r="B1174" s="152">
        <f t="shared" si="45"/>
        <v>0</v>
      </c>
      <c r="D1174" s="30">
        <f t="shared" ca="1" si="47"/>
        <v>0</v>
      </c>
      <c r="E1174" s="30">
        <f t="shared" ca="1" si="47"/>
        <v>0</v>
      </c>
      <c r="F1174" s="30">
        <f t="shared" ca="1" si="47"/>
        <v>0</v>
      </c>
      <c r="G1174" s="30">
        <f t="shared" ca="1" si="47"/>
        <v>0</v>
      </c>
      <c r="H1174" s="30">
        <f t="shared" ca="1" si="47"/>
        <v>0</v>
      </c>
    </row>
    <row r="1175" spans="2:8">
      <c r="B1175" s="152">
        <f t="shared" si="45"/>
        <v>0</v>
      </c>
      <c r="D1175" s="30">
        <f t="shared" ca="1" si="47"/>
        <v>0</v>
      </c>
      <c r="E1175" s="30">
        <f t="shared" ca="1" si="47"/>
        <v>0</v>
      </c>
      <c r="F1175" s="30">
        <f t="shared" ca="1" si="47"/>
        <v>0</v>
      </c>
      <c r="G1175" s="30">
        <f t="shared" ca="1" si="47"/>
        <v>0</v>
      </c>
      <c r="H1175" s="30">
        <f t="shared" ca="1" si="47"/>
        <v>0</v>
      </c>
    </row>
    <row r="1176" spans="2:8">
      <c r="B1176" s="152">
        <f t="shared" si="45"/>
        <v>0</v>
      </c>
      <c r="D1176" s="30">
        <f t="shared" ca="1" si="47"/>
        <v>0</v>
      </c>
      <c r="E1176" s="30">
        <f t="shared" ca="1" si="47"/>
        <v>0</v>
      </c>
      <c r="F1176" s="30">
        <f t="shared" ca="1" si="47"/>
        <v>0</v>
      </c>
      <c r="G1176" s="30">
        <f t="shared" ca="1" si="47"/>
        <v>0</v>
      </c>
      <c r="H1176" s="30">
        <f t="shared" ca="1" si="47"/>
        <v>0</v>
      </c>
    </row>
    <row r="1177" spans="2:8">
      <c r="B1177" s="152">
        <f t="shared" si="45"/>
        <v>0</v>
      </c>
      <c r="D1177" s="30">
        <f t="shared" ca="1" si="47"/>
        <v>0</v>
      </c>
      <c r="E1177" s="30">
        <f t="shared" ca="1" si="47"/>
        <v>0</v>
      </c>
      <c r="F1177" s="30">
        <f t="shared" ca="1" si="47"/>
        <v>0</v>
      </c>
      <c r="G1177" s="30">
        <f t="shared" ca="1" si="47"/>
        <v>0</v>
      </c>
      <c r="H1177" s="30">
        <f t="shared" ca="1" si="47"/>
        <v>0</v>
      </c>
    </row>
    <row r="1178" spans="2:8">
      <c r="B1178" s="152">
        <f t="shared" si="45"/>
        <v>0</v>
      </c>
      <c r="D1178" s="30">
        <f t="shared" ca="1" si="47"/>
        <v>0</v>
      </c>
      <c r="E1178" s="30">
        <f t="shared" ca="1" si="47"/>
        <v>0</v>
      </c>
      <c r="F1178" s="30">
        <f t="shared" ca="1" si="47"/>
        <v>0</v>
      </c>
      <c r="G1178" s="30">
        <f t="shared" ca="1" si="47"/>
        <v>0</v>
      </c>
      <c r="H1178" s="30">
        <f t="shared" ca="1" si="47"/>
        <v>0</v>
      </c>
    </row>
    <row r="1179" spans="2:8">
      <c r="B1179" s="152">
        <f t="shared" si="45"/>
        <v>0</v>
      </c>
      <c r="D1179" s="30">
        <f t="shared" ca="1" si="47"/>
        <v>0</v>
      </c>
      <c r="E1179" s="30">
        <f t="shared" ca="1" si="47"/>
        <v>0</v>
      </c>
      <c r="F1179" s="30">
        <f t="shared" ca="1" si="47"/>
        <v>0</v>
      </c>
      <c r="G1179" s="30">
        <f t="shared" ca="1" si="47"/>
        <v>0</v>
      </c>
      <c r="H1179" s="30">
        <f t="shared" ca="1" si="47"/>
        <v>0</v>
      </c>
    </row>
    <row r="1180" spans="2:8">
      <c r="B1180" s="152">
        <f t="shared" si="45"/>
        <v>0</v>
      </c>
      <c r="D1180" s="30">
        <f t="shared" ca="1" si="47"/>
        <v>0</v>
      </c>
      <c r="E1180" s="30">
        <f t="shared" ca="1" si="47"/>
        <v>0</v>
      </c>
      <c r="F1180" s="30">
        <f t="shared" ca="1" si="47"/>
        <v>0</v>
      </c>
      <c r="G1180" s="30">
        <f t="shared" ca="1" si="47"/>
        <v>0</v>
      </c>
      <c r="H1180" s="30">
        <f t="shared" ca="1" si="47"/>
        <v>0</v>
      </c>
    </row>
    <row r="1181" spans="2:8">
      <c r="B1181" s="152">
        <f t="shared" si="45"/>
        <v>0</v>
      </c>
      <c r="D1181" s="30">
        <f t="shared" ca="1" si="47"/>
        <v>0</v>
      </c>
      <c r="E1181" s="30">
        <f t="shared" ca="1" si="47"/>
        <v>0</v>
      </c>
      <c r="F1181" s="30">
        <f t="shared" ca="1" si="47"/>
        <v>0</v>
      </c>
      <c r="G1181" s="30">
        <f t="shared" ca="1" si="47"/>
        <v>0</v>
      </c>
      <c r="H1181" s="30">
        <f t="shared" ca="1" si="47"/>
        <v>0</v>
      </c>
    </row>
    <row r="1182" spans="2:8">
      <c r="B1182" s="152">
        <f t="shared" si="45"/>
        <v>0</v>
      </c>
      <c r="D1182" s="30">
        <f t="shared" ca="1" si="47"/>
        <v>0</v>
      </c>
      <c r="E1182" s="30">
        <f t="shared" ca="1" si="47"/>
        <v>0</v>
      </c>
      <c r="F1182" s="30">
        <f t="shared" ca="1" si="47"/>
        <v>0</v>
      </c>
      <c r="G1182" s="30">
        <f t="shared" ca="1" si="47"/>
        <v>0</v>
      </c>
      <c r="H1182" s="30">
        <f t="shared" ca="1" si="47"/>
        <v>0</v>
      </c>
    </row>
    <row r="1183" spans="2:8">
      <c r="B1183" s="152">
        <f t="shared" si="45"/>
        <v>0</v>
      </c>
      <c r="D1183" s="30">
        <f t="shared" ca="1" si="47"/>
        <v>0</v>
      </c>
      <c r="E1183" s="30">
        <f t="shared" ca="1" si="47"/>
        <v>0</v>
      </c>
      <c r="F1183" s="30">
        <f t="shared" ca="1" si="47"/>
        <v>0</v>
      </c>
      <c r="G1183" s="30">
        <f t="shared" ca="1" si="47"/>
        <v>0</v>
      </c>
      <c r="H1183" s="30">
        <f t="shared" ca="1" si="47"/>
        <v>0</v>
      </c>
    </row>
    <row r="1184" spans="2:8">
      <c r="B1184" s="152">
        <f t="shared" si="45"/>
        <v>0</v>
      </c>
      <c r="D1184" s="30">
        <f t="shared" ca="1" si="47"/>
        <v>0</v>
      </c>
      <c r="E1184" s="30">
        <f t="shared" ca="1" si="47"/>
        <v>0</v>
      </c>
      <c r="F1184" s="30">
        <f t="shared" ca="1" si="47"/>
        <v>0</v>
      </c>
      <c r="G1184" s="30">
        <f t="shared" ca="1" si="47"/>
        <v>0</v>
      </c>
      <c r="H1184" s="30">
        <f t="shared" ca="1" si="47"/>
        <v>0</v>
      </c>
    </row>
    <row r="1185" spans="2:8">
      <c r="B1185" s="152">
        <f t="shared" si="45"/>
        <v>0</v>
      </c>
      <c r="D1185" s="30">
        <f t="shared" ca="1" si="47"/>
        <v>0</v>
      </c>
      <c r="E1185" s="30">
        <f t="shared" ca="1" si="47"/>
        <v>0</v>
      </c>
      <c r="F1185" s="30">
        <f t="shared" ca="1" si="47"/>
        <v>0</v>
      </c>
      <c r="G1185" s="30">
        <f t="shared" ca="1" si="47"/>
        <v>0</v>
      </c>
      <c r="H1185" s="30">
        <f t="shared" ca="1" si="47"/>
        <v>0</v>
      </c>
    </row>
    <row r="1186" spans="2:8">
      <c r="B1186" s="152">
        <f t="shared" si="45"/>
        <v>0</v>
      </c>
      <c r="D1186" s="30">
        <f t="shared" ref="D1186:H1187" ca="1" si="48">D351+D518+D852+D1019+D685</f>
        <v>0</v>
      </c>
      <c r="E1186" s="30">
        <f t="shared" ca="1" si="48"/>
        <v>0</v>
      </c>
      <c r="F1186" s="30">
        <f t="shared" ca="1" si="48"/>
        <v>0</v>
      </c>
      <c r="G1186" s="30">
        <f t="shared" ca="1" si="48"/>
        <v>0</v>
      </c>
      <c r="H1186" s="30">
        <f t="shared" ca="1" si="48"/>
        <v>0</v>
      </c>
    </row>
    <row r="1187" spans="2:8">
      <c r="B1187" s="152">
        <f t="shared" si="45"/>
        <v>0</v>
      </c>
      <c r="D1187" s="30">
        <f t="shared" ca="1" si="48"/>
        <v>0</v>
      </c>
      <c r="E1187" s="30">
        <f t="shared" ca="1" si="48"/>
        <v>0</v>
      </c>
      <c r="F1187" s="30">
        <f t="shared" ca="1" si="48"/>
        <v>0</v>
      </c>
      <c r="G1187" s="30">
        <f t="shared" ca="1" si="48"/>
        <v>0</v>
      </c>
      <c r="H1187" s="30">
        <f t="shared" ca="1" si="48"/>
        <v>0</v>
      </c>
    </row>
    <row r="1188" spans="2:8" ht="15.75">
      <c r="B1188" s="151" t="s">
        <v>134</v>
      </c>
      <c r="D1188" s="48">
        <f ca="1">SUM(D1024:D1187)</f>
        <v>18001020.536732819</v>
      </c>
      <c r="E1188" s="48">
        <f ca="1">SUM(E1024:E1187)</f>
        <v>54744218.124417491</v>
      </c>
      <c r="F1188" s="48">
        <f ca="1">SUM(F1024:F1187)</f>
        <v>119409971.46726504</v>
      </c>
      <c r="G1188" s="48">
        <f ca="1">SUM(G1024:G1187)</f>
        <v>227770231.10790551</v>
      </c>
      <c r="H1188" s="48">
        <f ca="1">SUM(H1024:H1187)</f>
        <v>295589553.3002913</v>
      </c>
    </row>
  </sheetData>
  <pageMargins left="0" right="0" top="0" bottom="0" header="0" footer="0"/>
  <pageSetup paperSize="9" scale="75"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917E31B0-1955-FC4F-8626-214A4F12A84F}">
            <xm:f>'2. Notes and Assumptions'!$D$92="ERROR"</xm:f>
            <x14:dxf>
              <font>
                <color theme="0"/>
              </font>
              <fill>
                <patternFill patternType="solid">
                  <fgColor indexed="64"/>
                  <bgColor rgb="FFFF0000"/>
                </patternFill>
              </fill>
            </x14:dxf>
          </x14:cfRule>
          <x14:cfRule type="expression" priority="2" id="{C7009B6E-562B-694C-83BB-F2E456F1B5BB}">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sheetPr codeName="Sheet29"/>
  <dimension ref="A1:H214"/>
  <sheetViews>
    <sheetView zoomScaleNormal="100" workbookViewId="0">
      <pane ySplit="4" topLeftCell="A5" activePane="bottomLeft" state="frozen"/>
      <selection activeCell="A58" sqref="A58"/>
      <selection pane="bottomLeft" activeCell="K118" sqref="K118"/>
    </sheetView>
  </sheetViews>
  <sheetFormatPr defaultColWidth="10.6640625" defaultRowHeight="15"/>
  <cols>
    <col min="1" max="1" width="31.5546875" style="35" customWidth="1"/>
    <col min="2" max="2" width="51.6640625" style="2" customWidth="1"/>
    <col min="3" max="3" width="9.109375" style="2" customWidth="1"/>
    <col min="4" max="5" width="11.109375" style="2" customWidth="1"/>
    <col min="6" max="6" width="11.5546875" style="2" customWidth="1"/>
    <col min="7" max="8" width="11" style="2" customWidth="1"/>
    <col min="9" max="16384" width="10.6640625" style="2"/>
  </cols>
  <sheetData>
    <row r="1" spans="1:8" s="6" customFormat="1" ht="22.5" customHeight="1">
      <c r="A1" s="1" t="s">
        <v>115</v>
      </c>
      <c r="B1" s="1"/>
      <c r="C1" s="1"/>
      <c r="D1" s="1"/>
      <c r="E1" s="1"/>
      <c r="F1" s="1"/>
      <c r="G1" s="1"/>
    </row>
    <row r="2" spans="1:8" ht="18" customHeight="1">
      <c r="A2" s="3" t="str">
        <f ca="1">MID(CELL("filename",A1),FIND("]",CELL("filename",A1))+1,LEN(CELL("filename",A1))-FIND("]",CELL("filename",A1)))</f>
        <v>22.Sewer-Existing Assets Tax BV</v>
      </c>
      <c r="B2" s="3"/>
      <c r="C2" s="3"/>
      <c r="D2" s="3"/>
      <c r="E2" s="3"/>
      <c r="F2" s="3"/>
      <c r="G2" s="3"/>
    </row>
    <row r="3" spans="1:8" s="6" customFormat="1">
      <c r="A3" s="35"/>
      <c r="B3" s="63"/>
      <c r="C3" s="16" t="s">
        <v>0</v>
      </c>
      <c r="D3" s="17">
        <v>1</v>
      </c>
      <c r="E3" s="17">
        <v>2</v>
      </c>
      <c r="F3" s="17">
        <v>3</v>
      </c>
      <c r="G3" s="17">
        <v>4</v>
      </c>
      <c r="H3" s="17">
        <v>5</v>
      </c>
    </row>
    <row r="4" spans="1:8" s="6" customFormat="1">
      <c r="A4" s="35"/>
      <c r="B4" s="65"/>
      <c r="C4" s="18" t="s">
        <v>1</v>
      </c>
      <c r="D4" s="19" t="s">
        <v>10</v>
      </c>
      <c r="E4" s="19" t="s">
        <v>11</v>
      </c>
      <c r="F4" s="19" t="s">
        <v>2</v>
      </c>
      <c r="G4" s="19" t="s">
        <v>3</v>
      </c>
      <c r="H4" s="19" t="s">
        <v>4</v>
      </c>
    </row>
    <row r="5" spans="1:8" ht="15.75">
      <c r="B5" s="10" t="s">
        <v>19</v>
      </c>
    </row>
    <row r="6" spans="1:8">
      <c r="B6" s="2" t="s">
        <v>20</v>
      </c>
      <c r="D6" s="67">
        <f ca="1">'3. General Model Inputs'!E8</f>
        <v>2.5000000000000001E-2</v>
      </c>
      <c r="E6" s="67">
        <f ca="1">'3. General Model Inputs'!F8</f>
        <v>2.5000000000000001E-2</v>
      </c>
      <c r="F6" s="67">
        <f ca="1">'3. General Model Inputs'!G8</f>
        <v>2.5000000000000001E-2</v>
      </c>
      <c r="G6" s="67">
        <f ca="1">'3. General Model Inputs'!H8</f>
        <v>2.5000000000000001E-2</v>
      </c>
      <c r="H6" s="67">
        <f ca="1">'3. General Model Inputs'!I8</f>
        <v>2.5000000000000001E-2</v>
      </c>
    </row>
    <row r="8" spans="1:8" ht="15.75">
      <c r="B8" s="10" t="s">
        <v>138</v>
      </c>
    </row>
    <row r="9" spans="1:8">
      <c r="B9" s="6" t="s">
        <v>116</v>
      </c>
      <c r="D9" s="46">
        <f>D53</f>
        <v>392988714.66219497</v>
      </c>
      <c r="E9" s="46">
        <f>E53</f>
        <v>377142420.86795914</v>
      </c>
      <c r="F9" s="46">
        <f>F53</f>
        <v>361296127.07372332</v>
      </c>
      <c r="G9" s="46">
        <f>G53</f>
        <v>345449833.27948749</v>
      </c>
      <c r="H9" s="46">
        <f>H53</f>
        <v>329603539.48525167</v>
      </c>
    </row>
    <row r="10" spans="1:8">
      <c r="B10" s="6" t="s">
        <v>27</v>
      </c>
      <c r="D10" s="46">
        <f>D71</f>
        <v>0</v>
      </c>
      <c r="E10" s="46">
        <f>E71</f>
        <v>0</v>
      </c>
      <c r="F10" s="46">
        <f>F71</f>
        <v>0</v>
      </c>
      <c r="G10" s="46">
        <f>G71</f>
        <v>0</v>
      </c>
      <c r="H10" s="46">
        <f>H71</f>
        <v>0</v>
      </c>
    </row>
    <row r="11" spans="1:8">
      <c r="B11" s="6" t="s">
        <v>57</v>
      </c>
      <c r="D11" s="46"/>
      <c r="E11" s="46"/>
      <c r="F11" s="46"/>
      <c r="G11" s="46"/>
      <c r="H11" s="46"/>
    </row>
    <row r="12" spans="1:8">
      <c r="B12" s="6" t="s">
        <v>57</v>
      </c>
      <c r="D12" s="46"/>
      <c r="E12" s="46"/>
      <c r="F12" s="46"/>
      <c r="G12" s="46"/>
      <c r="H12" s="46"/>
    </row>
    <row r="13" spans="1:8">
      <c r="B13" s="6" t="s">
        <v>13</v>
      </c>
      <c r="D13" s="46">
        <f>D107</f>
        <v>-15846293.794235805</v>
      </c>
      <c r="E13" s="46">
        <f>E107</f>
        <v>-15846293.794235803</v>
      </c>
      <c r="F13" s="46">
        <f>F107</f>
        <v>-15846293.794235803</v>
      </c>
      <c r="G13" s="46">
        <f>G107</f>
        <v>-15846293.794235801</v>
      </c>
      <c r="H13" s="46">
        <f>H107</f>
        <v>-15846293.794235801</v>
      </c>
    </row>
    <row r="14" spans="1:8">
      <c r="B14" s="6" t="s">
        <v>118</v>
      </c>
      <c r="D14" s="30">
        <f>D125</f>
        <v>377142420.86795914</v>
      </c>
      <c r="E14" s="30">
        <f>E125</f>
        <v>361296127.07372332</v>
      </c>
      <c r="F14" s="30">
        <f>F125</f>
        <v>345449833.27948749</v>
      </c>
      <c r="G14" s="30">
        <f>G125</f>
        <v>329603539.48525167</v>
      </c>
      <c r="H14" s="30">
        <f>H125</f>
        <v>313757245.69101584</v>
      </c>
    </row>
    <row r="15" spans="1:8">
      <c r="D15" s="30"/>
      <c r="E15" s="30"/>
      <c r="F15" s="30"/>
      <c r="G15" s="30"/>
      <c r="H15" s="30"/>
    </row>
    <row r="16" spans="1:8" ht="15.75">
      <c r="B16" s="10" t="s">
        <v>122</v>
      </c>
      <c r="D16" s="30">
        <f>D9</f>
        <v>392988714.66219497</v>
      </c>
      <c r="E16" s="30">
        <f t="shared" ref="E16:H16" si="0">E9</f>
        <v>377142420.86795914</v>
      </c>
      <c r="F16" s="30">
        <f t="shared" si="0"/>
        <v>361296127.07372332</v>
      </c>
      <c r="G16" s="30">
        <f t="shared" si="0"/>
        <v>345449833.27948749</v>
      </c>
      <c r="H16" s="30">
        <f t="shared" si="0"/>
        <v>329603539.48525167</v>
      </c>
    </row>
    <row r="17" spans="2:8">
      <c r="B17" s="68"/>
      <c r="D17" s="30"/>
      <c r="E17" s="30"/>
      <c r="F17" s="30"/>
      <c r="G17" s="30"/>
      <c r="H17" s="30"/>
    </row>
    <row r="18" spans="2:8">
      <c r="B18" s="69" t="s">
        <v>120</v>
      </c>
      <c r="C18" s="12"/>
      <c r="D18" s="13">
        <f>SUM(D9:D13)-D14</f>
        <v>0</v>
      </c>
      <c r="E18" s="13">
        <f>SUM(E9:E13)-E14</f>
        <v>0</v>
      </c>
      <c r="F18" s="13">
        <f>SUM(F9:F13)-F14</f>
        <v>0</v>
      </c>
      <c r="G18" s="13">
        <f>SUM(G9:G13)-G14</f>
        <v>0</v>
      </c>
      <c r="H18" s="13">
        <f>SUM(H9:H13)-H14</f>
        <v>0</v>
      </c>
    </row>
    <row r="19" spans="2:8">
      <c r="B19" s="68"/>
      <c r="D19" s="30"/>
      <c r="E19" s="30"/>
      <c r="F19" s="30"/>
      <c r="G19" s="30"/>
      <c r="H19" s="30"/>
    </row>
    <row r="20" spans="2:8" ht="15.75">
      <c r="B20" s="10" t="s">
        <v>139</v>
      </c>
      <c r="D20" s="30"/>
      <c r="E20" s="30"/>
      <c r="F20" s="30"/>
      <c r="G20" s="30"/>
      <c r="H20" s="30"/>
    </row>
    <row r="21" spans="2:8" ht="15.75">
      <c r="B21" s="10" t="s">
        <v>48</v>
      </c>
      <c r="D21" s="30"/>
      <c r="E21" s="30"/>
      <c r="F21" s="30"/>
      <c r="G21" s="30"/>
      <c r="H21" s="30"/>
    </row>
    <row r="22" spans="2:8">
      <c r="B22" s="2" t="str">
        <f>'18. Sewer-Existing Assets Input'!B6</f>
        <v>Sewerage Assets</v>
      </c>
      <c r="D22" s="30">
        <f>'18. Sewer-Existing Assets Input'!F6</f>
        <v>24.800039666382258</v>
      </c>
      <c r="E22" s="30">
        <f t="shared" ref="E22:H35" si="1">IF(D22&gt;=1,IF(D56,0,D22-1),0)</f>
        <v>23.800039666382258</v>
      </c>
      <c r="F22" s="30">
        <f t="shared" si="1"/>
        <v>22.800039666382258</v>
      </c>
      <c r="G22" s="30">
        <f t="shared" si="1"/>
        <v>21.800039666382258</v>
      </c>
      <c r="H22" s="30">
        <f t="shared" si="1"/>
        <v>20.800039666382258</v>
      </c>
    </row>
    <row r="23" spans="2:8">
      <c r="B23" s="2" t="str">
        <f>'18. Sewer-Existing Assets Input'!B7</f>
        <v>[enter sewerage asset]</v>
      </c>
      <c r="D23" s="30">
        <f>'18. Sewer-Existing Assets Input'!F7</f>
        <v>0</v>
      </c>
      <c r="E23" s="30">
        <f t="shared" si="1"/>
        <v>0</v>
      </c>
      <c r="F23" s="30">
        <f t="shared" si="1"/>
        <v>0</v>
      </c>
      <c r="G23" s="30">
        <f t="shared" si="1"/>
        <v>0</v>
      </c>
      <c r="H23" s="30">
        <f t="shared" si="1"/>
        <v>0</v>
      </c>
    </row>
    <row r="24" spans="2:8">
      <c r="B24" s="2" t="str">
        <f>'18. Sewer-Existing Assets Input'!B8</f>
        <v>[enter sewerage asset]</v>
      </c>
      <c r="D24" s="30">
        <f>'18. Sewer-Existing Assets Input'!F8</f>
        <v>0</v>
      </c>
      <c r="E24" s="30">
        <f t="shared" si="1"/>
        <v>0</v>
      </c>
      <c r="F24" s="30">
        <f t="shared" si="1"/>
        <v>0</v>
      </c>
      <c r="G24" s="30">
        <f t="shared" si="1"/>
        <v>0</v>
      </c>
      <c r="H24" s="30">
        <f t="shared" si="1"/>
        <v>0</v>
      </c>
    </row>
    <row r="25" spans="2:8">
      <c r="B25" s="2" t="str">
        <f>'18. Sewer-Existing Assets Input'!B9</f>
        <v>[enter sewerage asset]</v>
      </c>
      <c r="D25" s="30">
        <f>'18. Sewer-Existing Assets Input'!F9</f>
        <v>0</v>
      </c>
      <c r="E25" s="30">
        <f t="shared" si="1"/>
        <v>0</v>
      </c>
      <c r="F25" s="30">
        <f t="shared" si="1"/>
        <v>0</v>
      </c>
      <c r="G25" s="30">
        <f t="shared" si="1"/>
        <v>0</v>
      </c>
      <c r="H25" s="30">
        <f t="shared" si="1"/>
        <v>0</v>
      </c>
    </row>
    <row r="26" spans="2:8">
      <c r="B26" s="2" t="str">
        <f>'18. Sewer-Existing Assets Input'!B10</f>
        <v>[enter sewerage asset]</v>
      </c>
      <c r="D26" s="30">
        <f>'18. Sewer-Existing Assets Input'!F10</f>
        <v>0</v>
      </c>
      <c r="E26" s="30">
        <f t="shared" si="1"/>
        <v>0</v>
      </c>
      <c r="F26" s="30">
        <f t="shared" si="1"/>
        <v>0</v>
      </c>
      <c r="G26" s="30">
        <f t="shared" si="1"/>
        <v>0</v>
      </c>
      <c r="H26" s="30">
        <f t="shared" si="1"/>
        <v>0</v>
      </c>
    </row>
    <row r="27" spans="2:8">
      <c r="B27" s="2" t="str">
        <f>'18. Sewer-Existing Assets Input'!B11</f>
        <v>[enter sewerage asset]</v>
      </c>
      <c r="D27" s="30">
        <f>'18. Sewer-Existing Assets Input'!F11</f>
        <v>0</v>
      </c>
      <c r="E27" s="30">
        <f t="shared" si="1"/>
        <v>0</v>
      </c>
      <c r="F27" s="30">
        <f t="shared" si="1"/>
        <v>0</v>
      </c>
      <c r="G27" s="30">
        <f t="shared" si="1"/>
        <v>0</v>
      </c>
      <c r="H27" s="30">
        <f t="shared" si="1"/>
        <v>0</v>
      </c>
    </row>
    <row r="28" spans="2:8">
      <c r="B28" s="2" t="str">
        <f>'18. Sewer-Existing Assets Input'!B12</f>
        <v>[enter sewerage asset]</v>
      </c>
      <c r="D28" s="30">
        <f>'18. Sewer-Existing Assets Input'!F12</f>
        <v>0</v>
      </c>
      <c r="E28" s="30">
        <f t="shared" si="1"/>
        <v>0</v>
      </c>
      <c r="F28" s="30">
        <f t="shared" si="1"/>
        <v>0</v>
      </c>
      <c r="G28" s="30">
        <f t="shared" si="1"/>
        <v>0</v>
      </c>
      <c r="H28" s="30">
        <f t="shared" si="1"/>
        <v>0</v>
      </c>
    </row>
    <row r="29" spans="2:8">
      <c r="B29" s="2" t="str">
        <f>'18. Sewer-Existing Assets Input'!B13</f>
        <v>[enter sewerage asset]</v>
      </c>
      <c r="D29" s="30">
        <f>'18. Sewer-Existing Assets Input'!F13</f>
        <v>0</v>
      </c>
      <c r="E29" s="30">
        <f t="shared" si="1"/>
        <v>0</v>
      </c>
      <c r="F29" s="30">
        <f t="shared" si="1"/>
        <v>0</v>
      </c>
      <c r="G29" s="30">
        <f t="shared" si="1"/>
        <v>0</v>
      </c>
      <c r="H29" s="30">
        <f t="shared" si="1"/>
        <v>0</v>
      </c>
    </row>
    <row r="30" spans="2:8">
      <c r="B30" s="2" t="str">
        <f>'18. Sewer-Existing Assets Input'!B14</f>
        <v>[enter sewerage asset]</v>
      </c>
      <c r="D30" s="30">
        <f>'18. Sewer-Existing Assets Input'!F14</f>
        <v>0</v>
      </c>
      <c r="E30" s="30">
        <f t="shared" si="1"/>
        <v>0</v>
      </c>
      <c r="F30" s="30">
        <f t="shared" si="1"/>
        <v>0</v>
      </c>
      <c r="G30" s="30">
        <f t="shared" si="1"/>
        <v>0</v>
      </c>
      <c r="H30" s="30">
        <f t="shared" si="1"/>
        <v>0</v>
      </c>
    </row>
    <row r="31" spans="2:8">
      <c r="B31" s="2" t="str">
        <f>'18. Sewer-Existing Assets Input'!B15</f>
        <v>[enter sewerage asset]</v>
      </c>
      <c r="D31" s="30">
        <f>'18. Sewer-Existing Assets Input'!F15</f>
        <v>0</v>
      </c>
      <c r="E31" s="30">
        <f t="shared" si="1"/>
        <v>0</v>
      </c>
      <c r="F31" s="30">
        <f t="shared" si="1"/>
        <v>0</v>
      </c>
      <c r="G31" s="30">
        <f t="shared" si="1"/>
        <v>0</v>
      </c>
      <c r="H31" s="30">
        <f t="shared" si="1"/>
        <v>0</v>
      </c>
    </row>
    <row r="32" spans="2:8">
      <c r="B32" s="2" t="str">
        <f>'18. Sewer-Existing Assets Input'!B16</f>
        <v>[enter sewerage asset]</v>
      </c>
      <c r="D32" s="30">
        <f>'18. Sewer-Existing Assets Input'!F16</f>
        <v>0</v>
      </c>
      <c r="E32" s="30">
        <f t="shared" si="1"/>
        <v>0</v>
      </c>
      <c r="F32" s="30">
        <f t="shared" si="1"/>
        <v>0</v>
      </c>
      <c r="G32" s="30">
        <f t="shared" si="1"/>
        <v>0</v>
      </c>
      <c r="H32" s="30">
        <f t="shared" si="1"/>
        <v>0</v>
      </c>
    </row>
    <row r="33" spans="2:8">
      <c r="B33" s="2" t="str">
        <f>'18. Sewer-Existing Assets Input'!B17</f>
        <v>[enter sewerage asset]</v>
      </c>
      <c r="D33" s="30">
        <f>'18. Sewer-Existing Assets Input'!F17</f>
        <v>0</v>
      </c>
      <c r="E33" s="30">
        <f t="shared" si="1"/>
        <v>0</v>
      </c>
      <c r="F33" s="30">
        <f t="shared" si="1"/>
        <v>0</v>
      </c>
      <c r="G33" s="30">
        <f t="shared" si="1"/>
        <v>0</v>
      </c>
      <c r="H33" s="30">
        <f t="shared" si="1"/>
        <v>0</v>
      </c>
    </row>
    <row r="34" spans="2:8">
      <c r="B34" s="2" t="str">
        <f>'18. Sewer-Existing Assets Input'!B18</f>
        <v>[enter sewerage asset]</v>
      </c>
      <c r="D34" s="30">
        <f>'18. Sewer-Existing Assets Input'!F18</f>
        <v>0</v>
      </c>
      <c r="E34" s="30">
        <f t="shared" si="1"/>
        <v>0</v>
      </c>
      <c r="F34" s="30">
        <f t="shared" si="1"/>
        <v>0</v>
      </c>
      <c r="G34" s="30">
        <f t="shared" si="1"/>
        <v>0</v>
      </c>
      <c r="H34" s="30">
        <f t="shared" si="1"/>
        <v>0</v>
      </c>
    </row>
    <row r="35" spans="2:8">
      <c r="B35" s="2" t="str">
        <f>'18. Sewer-Existing Assets Input'!B19</f>
        <v>[enter sewerage asset]</v>
      </c>
      <c r="D35" s="30">
        <f>'18. Sewer-Existing Assets Input'!F19</f>
        <v>0</v>
      </c>
      <c r="E35" s="30">
        <f t="shared" si="1"/>
        <v>0</v>
      </c>
      <c r="F35" s="30">
        <f t="shared" si="1"/>
        <v>0</v>
      </c>
      <c r="G35" s="30">
        <f t="shared" si="1"/>
        <v>0</v>
      </c>
      <c r="H35" s="30">
        <f t="shared" si="1"/>
        <v>0</v>
      </c>
    </row>
    <row r="36" spans="2:8">
      <c r="D36" s="30"/>
      <c r="E36" s="30"/>
      <c r="F36" s="30"/>
      <c r="G36" s="30"/>
      <c r="H36" s="30"/>
    </row>
    <row r="37" spans="2:8" ht="15.75">
      <c r="B37" s="10" t="s">
        <v>116</v>
      </c>
      <c r="D37" s="30"/>
      <c r="E37" s="30"/>
      <c r="F37" s="30"/>
      <c r="G37" s="30"/>
      <c r="H37" s="30"/>
    </row>
    <row r="38" spans="2:8">
      <c r="B38" s="2" t="str">
        <f>B22</f>
        <v>Sewerage Assets</v>
      </c>
      <c r="D38" s="30">
        <f>IF('18. Sewer-Existing Assets Input'!H6,'18. Sewer-Existing Assets Input'!E6,0)</f>
        <v>392988714.66219497</v>
      </c>
      <c r="E38" s="30">
        <f>D110</f>
        <v>377142420.86795914</v>
      </c>
      <c r="F38" s="30">
        <f t="shared" ref="F38:H38" si="2">E110</f>
        <v>361296127.07372332</v>
      </c>
      <c r="G38" s="30">
        <f t="shared" si="2"/>
        <v>345449833.27948749</v>
      </c>
      <c r="H38" s="30">
        <f t="shared" si="2"/>
        <v>329603539.48525167</v>
      </c>
    </row>
    <row r="39" spans="2:8">
      <c r="B39" s="2" t="str">
        <f t="shared" ref="B39:B51" si="3">B23</f>
        <v>[enter sewerage asset]</v>
      </c>
      <c r="D39" s="30">
        <f>IF('18. Sewer-Existing Assets Input'!H7,'18. Sewer-Existing Assets Input'!E7,0)</f>
        <v>0</v>
      </c>
      <c r="E39" s="30">
        <f t="shared" ref="E39:H51" si="4">D111</f>
        <v>0</v>
      </c>
      <c r="F39" s="30">
        <f t="shared" si="4"/>
        <v>0</v>
      </c>
      <c r="G39" s="30">
        <f t="shared" si="4"/>
        <v>0</v>
      </c>
      <c r="H39" s="30">
        <f t="shared" si="4"/>
        <v>0</v>
      </c>
    </row>
    <row r="40" spans="2:8">
      <c r="B40" s="2" t="str">
        <f t="shared" si="3"/>
        <v>[enter sewerage asset]</v>
      </c>
      <c r="D40" s="30">
        <f>IF('18. Sewer-Existing Assets Input'!H8,'18. Sewer-Existing Assets Input'!E8,0)</f>
        <v>0</v>
      </c>
      <c r="E40" s="30">
        <f t="shared" si="4"/>
        <v>0</v>
      </c>
      <c r="F40" s="30">
        <f t="shared" si="4"/>
        <v>0</v>
      </c>
      <c r="G40" s="30">
        <f t="shared" si="4"/>
        <v>0</v>
      </c>
      <c r="H40" s="30">
        <f t="shared" si="4"/>
        <v>0</v>
      </c>
    </row>
    <row r="41" spans="2:8">
      <c r="B41" s="2" t="str">
        <f t="shared" si="3"/>
        <v>[enter sewerage asset]</v>
      </c>
      <c r="D41" s="30">
        <f>IF('18. Sewer-Existing Assets Input'!H9,'18. Sewer-Existing Assets Input'!E9,0)</f>
        <v>0</v>
      </c>
      <c r="E41" s="30">
        <f t="shared" si="4"/>
        <v>0</v>
      </c>
      <c r="F41" s="30">
        <f t="shared" si="4"/>
        <v>0</v>
      </c>
      <c r="G41" s="30">
        <f t="shared" si="4"/>
        <v>0</v>
      </c>
      <c r="H41" s="30">
        <f t="shared" si="4"/>
        <v>0</v>
      </c>
    </row>
    <row r="42" spans="2:8">
      <c r="B42" s="2" t="str">
        <f t="shared" si="3"/>
        <v>[enter sewerage asset]</v>
      </c>
      <c r="D42" s="30">
        <f>IF('18. Sewer-Existing Assets Input'!H10,'18. Sewer-Existing Assets Input'!E10,0)</f>
        <v>0</v>
      </c>
      <c r="E42" s="30">
        <f t="shared" si="4"/>
        <v>0</v>
      </c>
      <c r="F42" s="30">
        <f t="shared" si="4"/>
        <v>0</v>
      </c>
      <c r="G42" s="30">
        <f t="shared" si="4"/>
        <v>0</v>
      </c>
      <c r="H42" s="30">
        <f t="shared" si="4"/>
        <v>0</v>
      </c>
    </row>
    <row r="43" spans="2:8">
      <c r="B43" s="2" t="str">
        <f t="shared" si="3"/>
        <v>[enter sewerage asset]</v>
      </c>
      <c r="D43" s="30">
        <f>IF('18. Sewer-Existing Assets Input'!H11,'18. Sewer-Existing Assets Input'!E11,0)</f>
        <v>0</v>
      </c>
      <c r="E43" s="30">
        <f t="shared" si="4"/>
        <v>0</v>
      </c>
      <c r="F43" s="30">
        <f t="shared" si="4"/>
        <v>0</v>
      </c>
      <c r="G43" s="30">
        <f t="shared" si="4"/>
        <v>0</v>
      </c>
      <c r="H43" s="30">
        <f t="shared" si="4"/>
        <v>0</v>
      </c>
    </row>
    <row r="44" spans="2:8">
      <c r="B44" s="2" t="str">
        <f t="shared" si="3"/>
        <v>[enter sewerage asset]</v>
      </c>
      <c r="D44" s="30">
        <f>IF('18. Sewer-Existing Assets Input'!H12,'18. Sewer-Existing Assets Input'!E12,0)</f>
        <v>0</v>
      </c>
      <c r="E44" s="30">
        <f t="shared" si="4"/>
        <v>0</v>
      </c>
      <c r="F44" s="30">
        <f t="shared" si="4"/>
        <v>0</v>
      </c>
      <c r="G44" s="30">
        <f t="shared" si="4"/>
        <v>0</v>
      </c>
      <c r="H44" s="30">
        <f t="shared" si="4"/>
        <v>0</v>
      </c>
    </row>
    <row r="45" spans="2:8">
      <c r="B45" s="2" t="str">
        <f t="shared" si="3"/>
        <v>[enter sewerage asset]</v>
      </c>
      <c r="D45" s="30">
        <f>IF('18. Sewer-Existing Assets Input'!H13,'18. Sewer-Existing Assets Input'!E13,0)</f>
        <v>0</v>
      </c>
      <c r="E45" s="30">
        <f t="shared" si="4"/>
        <v>0</v>
      </c>
      <c r="F45" s="30">
        <f t="shared" si="4"/>
        <v>0</v>
      </c>
      <c r="G45" s="30">
        <f t="shared" si="4"/>
        <v>0</v>
      </c>
      <c r="H45" s="30">
        <f t="shared" si="4"/>
        <v>0</v>
      </c>
    </row>
    <row r="46" spans="2:8">
      <c r="B46" s="2" t="str">
        <f t="shared" si="3"/>
        <v>[enter sewerage asset]</v>
      </c>
      <c r="D46" s="30">
        <f>IF('18. Sewer-Existing Assets Input'!H14,'18. Sewer-Existing Assets Input'!E14,0)</f>
        <v>0</v>
      </c>
      <c r="E46" s="30">
        <f t="shared" si="4"/>
        <v>0</v>
      </c>
      <c r="F46" s="30">
        <f t="shared" si="4"/>
        <v>0</v>
      </c>
      <c r="G46" s="30">
        <f t="shared" si="4"/>
        <v>0</v>
      </c>
      <c r="H46" s="30">
        <f t="shared" si="4"/>
        <v>0</v>
      </c>
    </row>
    <row r="47" spans="2:8">
      <c r="B47" s="2" t="str">
        <f t="shared" si="3"/>
        <v>[enter sewerage asset]</v>
      </c>
      <c r="D47" s="30">
        <f>IF('18. Sewer-Existing Assets Input'!H15,'18. Sewer-Existing Assets Input'!E15,0)</f>
        <v>0</v>
      </c>
      <c r="E47" s="30">
        <f t="shared" si="4"/>
        <v>0</v>
      </c>
      <c r="F47" s="30">
        <f t="shared" si="4"/>
        <v>0</v>
      </c>
      <c r="G47" s="30">
        <f t="shared" si="4"/>
        <v>0</v>
      </c>
      <c r="H47" s="30">
        <f t="shared" si="4"/>
        <v>0</v>
      </c>
    </row>
    <row r="48" spans="2:8">
      <c r="B48" s="2" t="str">
        <f t="shared" si="3"/>
        <v>[enter sewerage asset]</v>
      </c>
      <c r="D48" s="30">
        <f>IF('18. Sewer-Existing Assets Input'!H16,'18. Sewer-Existing Assets Input'!E16,0)</f>
        <v>0</v>
      </c>
      <c r="E48" s="30">
        <f t="shared" si="4"/>
        <v>0</v>
      </c>
      <c r="F48" s="30">
        <f t="shared" si="4"/>
        <v>0</v>
      </c>
      <c r="G48" s="30">
        <f t="shared" si="4"/>
        <v>0</v>
      </c>
      <c r="H48" s="30">
        <f t="shared" si="4"/>
        <v>0</v>
      </c>
    </row>
    <row r="49" spans="1:8">
      <c r="B49" s="2" t="str">
        <f t="shared" si="3"/>
        <v>[enter sewerage asset]</v>
      </c>
      <c r="D49" s="30">
        <f>IF('18. Sewer-Existing Assets Input'!H17,'18. Sewer-Existing Assets Input'!E17,0)</f>
        <v>0</v>
      </c>
      <c r="E49" s="30">
        <f t="shared" si="4"/>
        <v>0</v>
      </c>
      <c r="F49" s="30">
        <f t="shared" si="4"/>
        <v>0</v>
      </c>
      <c r="G49" s="30">
        <f t="shared" si="4"/>
        <v>0</v>
      </c>
      <c r="H49" s="30">
        <f t="shared" si="4"/>
        <v>0</v>
      </c>
    </row>
    <row r="50" spans="1:8">
      <c r="B50" s="2" t="str">
        <f t="shared" si="3"/>
        <v>[enter sewerage asset]</v>
      </c>
      <c r="D50" s="30">
        <f>IF('18. Sewer-Existing Assets Input'!H18,'18. Sewer-Existing Assets Input'!E18,0)</f>
        <v>0</v>
      </c>
      <c r="E50" s="30">
        <f t="shared" si="4"/>
        <v>0</v>
      </c>
      <c r="F50" s="30">
        <f t="shared" si="4"/>
        <v>0</v>
      </c>
      <c r="G50" s="30">
        <f t="shared" si="4"/>
        <v>0</v>
      </c>
      <c r="H50" s="30">
        <f t="shared" si="4"/>
        <v>0</v>
      </c>
    </row>
    <row r="51" spans="1:8">
      <c r="B51" s="2" t="str">
        <f t="shared" si="3"/>
        <v>[enter sewerage asset]</v>
      </c>
      <c r="D51" s="30">
        <f>IF('18. Sewer-Existing Assets Input'!H19,'18. Sewer-Existing Assets Input'!E19,0)</f>
        <v>0</v>
      </c>
      <c r="E51" s="30">
        <f t="shared" si="4"/>
        <v>0</v>
      </c>
      <c r="F51" s="30">
        <f t="shared" si="4"/>
        <v>0</v>
      </c>
      <c r="G51" s="30">
        <f t="shared" si="4"/>
        <v>0</v>
      </c>
      <c r="H51" s="30">
        <f t="shared" si="4"/>
        <v>0</v>
      </c>
    </row>
    <row r="52" spans="1:8">
      <c r="D52" s="30"/>
      <c r="E52" s="30"/>
      <c r="F52" s="30"/>
      <c r="G52" s="30"/>
      <c r="H52" s="30"/>
    </row>
    <row r="53" spans="1:8">
      <c r="B53" s="2" t="s">
        <v>49</v>
      </c>
      <c r="D53" s="48">
        <f>SUM(D38:D52)</f>
        <v>392988714.66219497</v>
      </c>
      <c r="E53" s="48">
        <f>SUM(E38:E52)</f>
        <v>377142420.86795914</v>
      </c>
      <c r="F53" s="48">
        <f>SUM(F38:F52)</f>
        <v>361296127.07372332</v>
      </c>
      <c r="G53" s="48">
        <f>SUM(G38:G52)</f>
        <v>345449833.27948749</v>
      </c>
      <c r="H53" s="48">
        <f>SUM(H38:H52)</f>
        <v>329603539.48525167</v>
      </c>
    </row>
    <row r="54" spans="1:8">
      <c r="D54" s="30"/>
      <c r="E54" s="30"/>
      <c r="F54" s="30"/>
      <c r="G54" s="30"/>
      <c r="H54" s="30"/>
    </row>
    <row r="55" spans="1:8" ht="15.75">
      <c r="A55" s="35">
        <f>'2. Notes and Assumptions'!B47</f>
        <v>24</v>
      </c>
      <c r="B55" s="10" t="s">
        <v>27</v>
      </c>
      <c r="D55" s="30"/>
      <c r="E55" s="30"/>
      <c r="F55" s="30"/>
      <c r="G55" s="30"/>
      <c r="H55" s="30"/>
    </row>
    <row r="56" spans="1:8">
      <c r="B56" s="2" t="str">
        <f t="shared" ref="B56:B69" si="5">B38</f>
        <v>Sewerage Assets</v>
      </c>
      <c r="D56" s="30"/>
      <c r="E56" s="30"/>
      <c r="F56" s="30"/>
      <c r="G56" s="30"/>
      <c r="H56" s="30"/>
    </row>
    <row r="57" spans="1:8">
      <c r="B57" s="2" t="str">
        <f t="shared" si="5"/>
        <v>[enter sewerage asset]</v>
      </c>
      <c r="D57" s="30"/>
      <c r="E57" s="30"/>
      <c r="F57" s="30"/>
      <c r="G57" s="30"/>
      <c r="H57" s="30"/>
    </row>
    <row r="58" spans="1:8">
      <c r="B58" s="2" t="str">
        <f t="shared" si="5"/>
        <v>[enter sewerage asset]</v>
      </c>
      <c r="D58" s="30"/>
      <c r="E58" s="30"/>
      <c r="F58" s="30"/>
      <c r="G58" s="30"/>
      <c r="H58" s="30"/>
    </row>
    <row r="59" spans="1:8">
      <c r="B59" s="2" t="str">
        <f t="shared" si="5"/>
        <v>[enter sewerage asset]</v>
      </c>
      <c r="D59" s="30"/>
      <c r="E59" s="30"/>
      <c r="F59" s="30"/>
      <c r="G59" s="30"/>
      <c r="H59" s="30"/>
    </row>
    <row r="60" spans="1:8">
      <c r="B60" s="2" t="str">
        <f t="shared" si="5"/>
        <v>[enter sewerage asset]</v>
      </c>
      <c r="D60" s="30"/>
      <c r="E60" s="30"/>
      <c r="F60" s="30"/>
      <c r="G60" s="30"/>
      <c r="H60" s="30"/>
    </row>
    <row r="61" spans="1:8">
      <c r="B61" s="2" t="str">
        <f t="shared" si="5"/>
        <v>[enter sewerage asset]</v>
      </c>
      <c r="D61" s="30"/>
      <c r="E61" s="30"/>
      <c r="F61" s="30"/>
      <c r="G61" s="30"/>
      <c r="H61" s="30"/>
    </row>
    <row r="62" spans="1:8">
      <c r="B62" s="2" t="str">
        <f t="shared" si="5"/>
        <v>[enter sewerage asset]</v>
      </c>
      <c r="D62" s="30"/>
      <c r="E62" s="30"/>
      <c r="F62" s="30"/>
      <c r="G62" s="30"/>
      <c r="H62" s="30"/>
    </row>
    <row r="63" spans="1:8">
      <c r="B63" s="2" t="str">
        <f t="shared" si="5"/>
        <v>[enter sewerage asset]</v>
      </c>
      <c r="D63" s="30"/>
      <c r="E63" s="30"/>
      <c r="F63" s="30"/>
      <c r="G63" s="30"/>
      <c r="H63" s="30"/>
    </row>
    <row r="64" spans="1:8">
      <c r="B64" s="2" t="str">
        <f t="shared" si="5"/>
        <v>[enter sewerage asset]</v>
      </c>
      <c r="D64" s="30"/>
      <c r="E64" s="30"/>
      <c r="F64" s="30"/>
      <c r="G64" s="30"/>
      <c r="H64" s="30"/>
    </row>
    <row r="65" spans="2:8">
      <c r="B65" s="2" t="str">
        <f t="shared" si="5"/>
        <v>[enter sewerage asset]</v>
      </c>
      <c r="D65" s="30"/>
      <c r="E65" s="30"/>
      <c r="F65" s="30"/>
      <c r="G65" s="30"/>
      <c r="H65" s="30"/>
    </row>
    <row r="66" spans="2:8">
      <c r="B66" s="2" t="str">
        <f t="shared" si="5"/>
        <v>[enter sewerage asset]</v>
      </c>
      <c r="D66" s="30"/>
      <c r="E66" s="30"/>
      <c r="F66" s="30"/>
      <c r="G66" s="30"/>
      <c r="H66" s="30"/>
    </row>
    <row r="67" spans="2:8">
      <c r="B67" s="2" t="str">
        <f t="shared" si="5"/>
        <v>[enter sewerage asset]</v>
      </c>
      <c r="D67" s="30"/>
      <c r="E67" s="30"/>
      <c r="F67" s="30"/>
      <c r="G67" s="30"/>
      <c r="H67" s="30"/>
    </row>
    <row r="68" spans="2:8">
      <c r="B68" s="2" t="str">
        <f t="shared" si="5"/>
        <v>[enter sewerage asset]</v>
      </c>
      <c r="D68" s="30"/>
      <c r="E68" s="30"/>
      <c r="F68" s="30"/>
      <c r="G68" s="30"/>
      <c r="H68" s="30"/>
    </row>
    <row r="69" spans="2:8">
      <c r="B69" s="2" t="str">
        <f t="shared" si="5"/>
        <v>[enter sewerage asset]</v>
      </c>
      <c r="D69" s="30"/>
      <c r="E69" s="30"/>
      <c r="F69" s="30"/>
      <c r="G69" s="30"/>
      <c r="H69" s="30"/>
    </row>
    <row r="70" spans="2:8">
      <c r="D70" s="30"/>
      <c r="E70" s="30"/>
      <c r="F70" s="30"/>
      <c r="G70" s="30"/>
      <c r="H70" s="30"/>
    </row>
    <row r="71" spans="2:8">
      <c r="B71" s="2" t="s">
        <v>49</v>
      </c>
      <c r="D71" s="48">
        <f>SUM(D56:D70)</f>
        <v>0</v>
      </c>
      <c r="E71" s="48">
        <f>SUM(E56:E70)</f>
        <v>0</v>
      </c>
      <c r="F71" s="48">
        <f>SUM(F56:F70)</f>
        <v>0</v>
      </c>
      <c r="G71" s="48">
        <f>SUM(G56:G70)</f>
        <v>0</v>
      </c>
      <c r="H71" s="48">
        <f>SUM(H56:H70)</f>
        <v>0</v>
      </c>
    </row>
    <row r="72" spans="2:8">
      <c r="D72" s="70"/>
      <c r="E72" s="70"/>
      <c r="F72" s="70"/>
      <c r="G72" s="70"/>
      <c r="H72" s="70"/>
    </row>
    <row r="73" spans="2:8" ht="15.75">
      <c r="B73" s="10" t="s">
        <v>12</v>
      </c>
      <c r="D73" s="30"/>
      <c r="E73" s="30"/>
      <c r="F73" s="30"/>
      <c r="G73" s="30"/>
      <c r="H73" s="30"/>
    </row>
    <row r="74" spans="2:8">
      <c r="B74" s="6" t="s">
        <v>57</v>
      </c>
      <c r="D74" s="30"/>
      <c r="E74" s="30"/>
      <c r="F74" s="30"/>
      <c r="G74" s="30"/>
      <c r="H74" s="30"/>
    </row>
    <row r="75" spans="2:8">
      <c r="B75" s="6" t="s">
        <v>57</v>
      </c>
      <c r="D75" s="30"/>
      <c r="E75" s="30"/>
      <c r="F75" s="30"/>
      <c r="G75" s="30"/>
      <c r="H75" s="30"/>
    </row>
    <row r="76" spans="2:8">
      <c r="B76" s="6" t="s">
        <v>57</v>
      </c>
      <c r="D76" s="30"/>
      <c r="E76" s="30"/>
      <c r="F76" s="30"/>
      <c r="G76" s="30"/>
      <c r="H76" s="30"/>
    </row>
    <row r="77" spans="2:8">
      <c r="B77" s="6" t="s">
        <v>57</v>
      </c>
      <c r="D77" s="30"/>
      <c r="E77" s="30"/>
      <c r="F77" s="30"/>
      <c r="G77" s="30"/>
      <c r="H77" s="30"/>
    </row>
    <row r="78" spans="2:8">
      <c r="B78" s="6" t="s">
        <v>57</v>
      </c>
      <c r="D78" s="30"/>
      <c r="E78" s="30"/>
      <c r="F78" s="30"/>
      <c r="G78" s="30"/>
      <c r="H78" s="30"/>
    </row>
    <row r="79" spans="2:8">
      <c r="B79" s="6" t="s">
        <v>57</v>
      </c>
      <c r="D79" s="30"/>
      <c r="E79" s="30"/>
      <c r="F79" s="30"/>
      <c r="G79" s="30"/>
      <c r="H79" s="30"/>
    </row>
    <row r="80" spans="2:8">
      <c r="B80" s="6" t="s">
        <v>57</v>
      </c>
      <c r="D80" s="30"/>
      <c r="E80" s="30"/>
      <c r="F80" s="30"/>
      <c r="G80" s="30"/>
      <c r="H80" s="30"/>
    </row>
    <row r="81" spans="2:8">
      <c r="B81" s="6" t="s">
        <v>57</v>
      </c>
      <c r="D81" s="30"/>
      <c r="E81" s="30"/>
      <c r="F81" s="30"/>
      <c r="G81" s="30"/>
      <c r="H81" s="30"/>
    </row>
    <row r="82" spans="2:8">
      <c r="B82" s="6" t="s">
        <v>57</v>
      </c>
      <c r="D82" s="30"/>
      <c r="E82" s="30"/>
      <c r="F82" s="30"/>
      <c r="G82" s="30"/>
      <c r="H82" s="30"/>
    </row>
    <row r="83" spans="2:8">
      <c r="B83" s="6" t="s">
        <v>57</v>
      </c>
      <c r="D83" s="30"/>
      <c r="E83" s="30"/>
      <c r="F83" s="30"/>
      <c r="G83" s="30"/>
      <c r="H83" s="30"/>
    </row>
    <row r="84" spans="2:8">
      <c r="B84" s="6" t="s">
        <v>57</v>
      </c>
      <c r="D84" s="30"/>
      <c r="E84" s="30"/>
      <c r="F84" s="30"/>
      <c r="G84" s="30"/>
      <c r="H84" s="30"/>
    </row>
    <row r="85" spans="2:8">
      <c r="B85" s="6" t="s">
        <v>57</v>
      </c>
      <c r="D85" s="30"/>
      <c r="E85" s="30"/>
      <c r="F85" s="30"/>
      <c r="G85" s="30"/>
      <c r="H85" s="30"/>
    </row>
    <row r="86" spans="2:8">
      <c r="B86" s="6" t="s">
        <v>57</v>
      </c>
      <c r="D86" s="30"/>
      <c r="E86" s="30"/>
      <c r="F86" s="30"/>
      <c r="G86" s="30"/>
      <c r="H86" s="30"/>
    </row>
    <row r="87" spans="2:8">
      <c r="B87" s="6" t="s">
        <v>57</v>
      </c>
      <c r="D87" s="30"/>
      <c r="E87" s="30"/>
      <c r="F87" s="30"/>
      <c r="G87" s="30"/>
      <c r="H87" s="30"/>
    </row>
    <row r="88" spans="2:8">
      <c r="D88" s="30"/>
      <c r="E88" s="30"/>
      <c r="F88" s="30"/>
      <c r="G88" s="30"/>
      <c r="H88" s="30"/>
    </row>
    <row r="89" spans="2:8">
      <c r="B89" s="2" t="s">
        <v>49</v>
      </c>
      <c r="D89" s="48">
        <f>SUM(D74:D88)</f>
        <v>0</v>
      </c>
      <c r="E89" s="48">
        <f>SUM(E74:E88)</f>
        <v>0</v>
      </c>
      <c r="F89" s="48">
        <f>SUM(F74:F88)</f>
        <v>0</v>
      </c>
      <c r="G89" s="48">
        <f>SUM(G74:G88)</f>
        <v>0</v>
      </c>
      <c r="H89" s="48">
        <f>SUM(H74:H88)</f>
        <v>0</v>
      </c>
    </row>
    <row r="90" spans="2:8">
      <c r="D90" s="70"/>
      <c r="E90" s="70"/>
      <c r="F90" s="70"/>
      <c r="G90" s="70"/>
      <c r="H90" s="70"/>
    </row>
    <row r="91" spans="2:8" ht="15.75">
      <c r="B91" s="10" t="s">
        <v>13</v>
      </c>
      <c r="D91" s="30"/>
      <c r="E91" s="30"/>
      <c r="F91" s="30"/>
      <c r="G91" s="30"/>
      <c r="H91" s="30"/>
    </row>
    <row r="92" spans="2:8">
      <c r="B92" s="2" t="str">
        <f>B38</f>
        <v>Sewerage Assets</v>
      </c>
      <c r="D92" s="30">
        <f t="shared" ref="D92:H105" si="6">IF(D22&lt;1,-(D38+D56+D74),-(D38+D56+D74)/D22)</f>
        <v>-15846293.794235805</v>
      </c>
      <c r="E92" s="30">
        <f t="shared" si="6"/>
        <v>-15846293.794235803</v>
      </c>
      <c r="F92" s="30">
        <f t="shared" si="6"/>
        <v>-15846293.794235803</v>
      </c>
      <c r="G92" s="30">
        <f t="shared" si="6"/>
        <v>-15846293.794235801</v>
      </c>
      <c r="H92" s="30">
        <f t="shared" si="6"/>
        <v>-15846293.794235801</v>
      </c>
    </row>
    <row r="93" spans="2:8">
      <c r="B93" s="2" t="str">
        <f t="shared" ref="B93:B105" si="7">B39</f>
        <v>[enter sewerage asset]</v>
      </c>
      <c r="D93" s="30">
        <f t="shared" si="6"/>
        <v>0</v>
      </c>
      <c r="E93" s="30">
        <f t="shared" si="6"/>
        <v>0</v>
      </c>
      <c r="F93" s="30">
        <f t="shared" si="6"/>
        <v>0</v>
      </c>
      <c r="G93" s="30">
        <f t="shared" si="6"/>
        <v>0</v>
      </c>
      <c r="H93" s="30">
        <f t="shared" si="6"/>
        <v>0</v>
      </c>
    </row>
    <row r="94" spans="2:8">
      <c r="B94" s="2" t="str">
        <f t="shared" si="7"/>
        <v>[enter sewerage asset]</v>
      </c>
      <c r="D94" s="30">
        <f t="shared" si="6"/>
        <v>0</v>
      </c>
      <c r="E94" s="30">
        <f t="shared" si="6"/>
        <v>0</v>
      </c>
      <c r="F94" s="30">
        <f t="shared" si="6"/>
        <v>0</v>
      </c>
      <c r="G94" s="30">
        <f t="shared" si="6"/>
        <v>0</v>
      </c>
      <c r="H94" s="30">
        <f t="shared" si="6"/>
        <v>0</v>
      </c>
    </row>
    <row r="95" spans="2:8">
      <c r="B95" s="2" t="str">
        <f t="shared" si="7"/>
        <v>[enter sewerage asset]</v>
      </c>
      <c r="D95" s="30">
        <f t="shared" si="6"/>
        <v>0</v>
      </c>
      <c r="E95" s="30">
        <f t="shared" si="6"/>
        <v>0</v>
      </c>
      <c r="F95" s="30">
        <f t="shared" si="6"/>
        <v>0</v>
      </c>
      <c r="G95" s="30">
        <f t="shared" si="6"/>
        <v>0</v>
      </c>
      <c r="H95" s="30">
        <f t="shared" si="6"/>
        <v>0</v>
      </c>
    </row>
    <row r="96" spans="2:8">
      <c r="B96" s="2" t="str">
        <f t="shared" si="7"/>
        <v>[enter sewerage asset]</v>
      </c>
      <c r="D96" s="30">
        <f t="shared" si="6"/>
        <v>0</v>
      </c>
      <c r="E96" s="30">
        <f t="shared" si="6"/>
        <v>0</v>
      </c>
      <c r="F96" s="30">
        <f t="shared" si="6"/>
        <v>0</v>
      </c>
      <c r="G96" s="30">
        <f t="shared" si="6"/>
        <v>0</v>
      </c>
      <c r="H96" s="30">
        <f t="shared" si="6"/>
        <v>0</v>
      </c>
    </row>
    <row r="97" spans="2:8">
      <c r="B97" s="2" t="str">
        <f t="shared" si="7"/>
        <v>[enter sewerage asset]</v>
      </c>
      <c r="D97" s="30">
        <f t="shared" si="6"/>
        <v>0</v>
      </c>
      <c r="E97" s="30">
        <f t="shared" si="6"/>
        <v>0</v>
      </c>
      <c r="F97" s="30">
        <f t="shared" si="6"/>
        <v>0</v>
      </c>
      <c r="G97" s="30">
        <f t="shared" si="6"/>
        <v>0</v>
      </c>
      <c r="H97" s="30">
        <f t="shared" si="6"/>
        <v>0</v>
      </c>
    </row>
    <row r="98" spans="2:8">
      <c r="B98" s="2" t="str">
        <f t="shared" si="7"/>
        <v>[enter sewerage asset]</v>
      </c>
      <c r="D98" s="30">
        <f t="shared" si="6"/>
        <v>0</v>
      </c>
      <c r="E98" s="30">
        <f t="shared" si="6"/>
        <v>0</v>
      </c>
      <c r="F98" s="30">
        <f t="shared" si="6"/>
        <v>0</v>
      </c>
      <c r="G98" s="30">
        <f t="shared" si="6"/>
        <v>0</v>
      </c>
      <c r="H98" s="30">
        <f t="shared" si="6"/>
        <v>0</v>
      </c>
    </row>
    <row r="99" spans="2:8">
      <c r="B99" s="2" t="str">
        <f t="shared" si="7"/>
        <v>[enter sewerage asset]</v>
      </c>
      <c r="D99" s="30">
        <f t="shared" si="6"/>
        <v>0</v>
      </c>
      <c r="E99" s="30">
        <f t="shared" si="6"/>
        <v>0</v>
      </c>
      <c r="F99" s="30">
        <f t="shared" si="6"/>
        <v>0</v>
      </c>
      <c r="G99" s="30">
        <f t="shared" si="6"/>
        <v>0</v>
      </c>
      <c r="H99" s="30">
        <f t="shared" si="6"/>
        <v>0</v>
      </c>
    </row>
    <row r="100" spans="2:8">
      <c r="B100" s="2" t="str">
        <f t="shared" si="7"/>
        <v>[enter sewerage asset]</v>
      </c>
      <c r="D100" s="30">
        <f t="shared" si="6"/>
        <v>0</v>
      </c>
      <c r="E100" s="30">
        <f t="shared" si="6"/>
        <v>0</v>
      </c>
      <c r="F100" s="30">
        <f t="shared" si="6"/>
        <v>0</v>
      </c>
      <c r="G100" s="30">
        <f t="shared" si="6"/>
        <v>0</v>
      </c>
      <c r="H100" s="30">
        <f t="shared" si="6"/>
        <v>0</v>
      </c>
    </row>
    <row r="101" spans="2:8">
      <c r="B101" s="2" t="str">
        <f t="shared" si="7"/>
        <v>[enter sewerage asset]</v>
      </c>
      <c r="D101" s="30">
        <f t="shared" si="6"/>
        <v>0</v>
      </c>
      <c r="E101" s="30">
        <f t="shared" si="6"/>
        <v>0</v>
      </c>
      <c r="F101" s="30">
        <f t="shared" si="6"/>
        <v>0</v>
      </c>
      <c r="G101" s="30">
        <f t="shared" si="6"/>
        <v>0</v>
      </c>
      <c r="H101" s="30">
        <f t="shared" si="6"/>
        <v>0</v>
      </c>
    </row>
    <row r="102" spans="2:8">
      <c r="B102" s="2" t="str">
        <f t="shared" si="7"/>
        <v>[enter sewerage asset]</v>
      </c>
      <c r="D102" s="30">
        <f t="shared" si="6"/>
        <v>0</v>
      </c>
      <c r="E102" s="30">
        <f t="shared" si="6"/>
        <v>0</v>
      </c>
      <c r="F102" s="30">
        <f t="shared" si="6"/>
        <v>0</v>
      </c>
      <c r="G102" s="30">
        <f t="shared" si="6"/>
        <v>0</v>
      </c>
      <c r="H102" s="30">
        <f t="shared" si="6"/>
        <v>0</v>
      </c>
    </row>
    <row r="103" spans="2:8">
      <c r="B103" s="2" t="str">
        <f t="shared" si="7"/>
        <v>[enter sewerage asset]</v>
      </c>
      <c r="D103" s="30">
        <f t="shared" si="6"/>
        <v>0</v>
      </c>
      <c r="E103" s="30">
        <f t="shared" si="6"/>
        <v>0</v>
      </c>
      <c r="F103" s="30">
        <f t="shared" si="6"/>
        <v>0</v>
      </c>
      <c r="G103" s="30">
        <f t="shared" si="6"/>
        <v>0</v>
      </c>
      <c r="H103" s="30">
        <f t="shared" si="6"/>
        <v>0</v>
      </c>
    </row>
    <row r="104" spans="2:8">
      <c r="B104" s="2" t="str">
        <f t="shared" si="7"/>
        <v>[enter sewerage asset]</v>
      </c>
      <c r="D104" s="30">
        <f t="shared" si="6"/>
        <v>0</v>
      </c>
      <c r="E104" s="30">
        <f t="shared" si="6"/>
        <v>0</v>
      </c>
      <c r="F104" s="30">
        <f t="shared" si="6"/>
        <v>0</v>
      </c>
      <c r="G104" s="30">
        <f t="shared" si="6"/>
        <v>0</v>
      </c>
      <c r="H104" s="30">
        <f t="shared" si="6"/>
        <v>0</v>
      </c>
    </row>
    <row r="105" spans="2:8">
      <c r="B105" s="2" t="str">
        <f t="shared" si="7"/>
        <v>[enter sewerage asset]</v>
      </c>
      <c r="D105" s="30">
        <f t="shared" si="6"/>
        <v>0</v>
      </c>
      <c r="E105" s="30">
        <f t="shared" si="6"/>
        <v>0</v>
      </c>
      <c r="F105" s="30">
        <f t="shared" si="6"/>
        <v>0</v>
      </c>
      <c r="G105" s="30">
        <f t="shared" si="6"/>
        <v>0</v>
      </c>
      <c r="H105" s="30">
        <f t="shared" si="6"/>
        <v>0</v>
      </c>
    </row>
    <row r="106" spans="2:8">
      <c r="D106" s="30"/>
      <c r="E106" s="30"/>
      <c r="F106" s="30"/>
      <c r="G106" s="30"/>
      <c r="H106" s="30"/>
    </row>
    <row r="107" spans="2:8">
      <c r="B107" s="2" t="s">
        <v>49</v>
      </c>
      <c r="D107" s="48">
        <f>SUM(D92:D106)</f>
        <v>-15846293.794235805</v>
      </c>
      <c r="E107" s="48">
        <f>SUM(E92:E106)</f>
        <v>-15846293.794235803</v>
      </c>
      <c r="F107" s="48">
        <f>SUM(F92:F106)</f>
        <v>-15846293.794235803</v>
      </c>
      <c r="G107" s="48">
        <f>SUM(G92:G106)</f>
        <v>-15846293.794235801</v>
      </c>
      <c r="H107" s="48">
        <f>SUM(H92:H106)</f>
        <v>-15846293.794235801</v>
      </c>
    </row>
    <row r="108" spans="2:8">
      <c r="D108" s="30"/>
      <c r="E108" s="30"/>
      <c r="F108" s="30"/>
      <c r="G108" s="30"/>
      <c r="H108" s="30"/>
    </row>
    <row r="109" spans="2:8" ht="15.75">
      <c r="B109" s="10" t="s">
        <v>118</v>
      </c>
      <c r="D109" s="30"/>
      <c r="E109" s="30"/>
      <c r="F109" s="30"/>
      <c r="G109" s="30"/>
      <c r="H109" s="30"/>
    </row>
    <row r="110" spans="2:8">
      <c r="B110" s="2" t="str">
        <f>B92</f>
        <v>Sewerage Assets</v>
      </c>
      <c r="D110" s="30">
        <f t="shared" ref="D110:H123" si="8">D38+D56+D74+D92</f>
        <v>377142420.86795914</v>
      </c>
      <c r="E110" s="30">
        <f t="shared" si="8"/>
        <v>361296127.07372332</v>
      </c>
      <c r="F110" s="30">
        <f t="shared" si="8"/>
        <v>345449833.27948749</v>
      </c>
      <c r="G110" s="30">
        <f t="shared" si="8"/>
        <v>329603539.48525167</v>
      </c>
      <c r="H110" s="30">
        <f t="shared" si="8"/>
        <v>313757245.69101584</v>
      </c>
    </row>
    <row r="111" spans="2:8">
      <c r="B111" s="2" t="str">
        <f t="shared" ref="B111:B123" si="9">B93</f>
        <v>[enter sewerage asset]</v>
      </c>
      <c r="D111" s="30">
        <f t="shared" si="8"/>
        <v>0</v>
      </c>
      <c r="E111" s="30">
        <f t="shared" si="8"/>
        <v>0</v>
      </c>
      <c r="F111" s="30">
        <f t="shared" si="8"/>
        <v>0</v>
      </c>
      <c r="G111" s="30">
        <f t="shared" si="8"/>
        <v>0</v>
      </c>
      <c r="H111" s="30">
        <f t="shared" si="8"/>
        <v>0</v>
      </c>
    </row>
    <row r="112" spans="2:8">
      <c r="B112" s="2" t="str">
        <f t="shared" si="9"/>
        <v>[enter sewerage asset]</v>
      </c>
      <c r="D112" s="30">
        <f t="shared" si="8"/>
        <v>0</v>
      </c>
      <c r="E112" s="30">
        <f t="shared" si="8"/>
        <v>0</v>
      </c>
      <c r="F112" s="30">
        <f t="shared" si="8"/>
        <v>0</v>
      </c>
      <c r="G112" s="30">
        <f t="shared" si="8"/>
        <v>0</v>
      </c>
      <c r="H112" s="30">
        <f t="shared" si="8"/>
        <v>0</v>
      </c>
    </row>
    <row r="113" spans="2:8">
      <c r="B113" s="2" t="str">
        <f t="shared" si="9"/>
        <v>[enter sewerage asset]</v>
      </c>
      <c r="D113" s="30">
        <f t="shared" si="8"/>
        <v>0</v>
      </c>
      <c r="E113" s="30">
        <f t="shared" si="8"/>
        <v>0</v>
      </c>
      <c r="F113" s="30">
        <f t="shared" si="8"/>
        <v>0</v>
      </c>
      <c r="G113" s="30">
        <f t="shared" si="8"/>
        <v>0</v>
      </c>
      <c r="H113" s="30">
        <f t="shared" si="8"/>
        <v>0</v>
      </c>
    </row>
    <row r="114" spans="2:8">
      <c r="B114" s="2" t="str">
        <f t="shared" si="9"/>
        <v>[enter sewerage asset]</v>
      </c>
      <c r="D114" s="30">
        <f t="shared" si="8"/>
        <v>0</v>
      </c>
      <c r="E114" s="30">
        <f t="shared" si="8"/>
        <v>0</v>
      </c>
      <c r="F114" s="30">
        <f t="shared" si="8"/>
        <v>0</v>
      </c>
      <c r="G114" s="30">
        <f t="shared" si="8"/>
        <v>0</v>
      </c>
      <c r="H114" s="30">
        <f t="shared" si="8"/>
        <v>0</v>
      </c>
    </row>
    <row r="115" spans="2:8">
      <c r="B115" s="2" t="str">
        <f t="shared" si="9"/>
        <v>[enter sewerage asset]</v>
      </c>
      <c r="D115" s="30">
        <f t="shared" si="8"/>
        <v>0</v>
      </c>
      <c r="E115" s="30">
        <f t="shared" si="8"/>
        <v>0</v>
      </c>
      <c r="F115" s="30">
        <f t="shared" si="8"/>
        <v>0</v>
      </c>
      <c r="G115" s="30">
        <f t="shared" si="8"/>
        <v>0</v>
      </c>
      <c r="H115" s="30">
        <f t="shared" si="8"/>
        <v>0</v>
      </c>
    </row>
    <row r="116" spans="2:8">
      <c r="B116" s="2" t="str">
        <f t="shared" si="9"/>
        <v>[enter sewerage asset]</v>
      </c>
      <c r="D116" s="30">
        <f t="shared" si="8"/>
        <v>0</v>
      </c>
      <c r="E116" s="30">
        <f t="shared" si="8"/>
        <v>0</v>
      </c>
      <c r="F116" s="30">
        <f t="shared" si="8"/>
        <v>0</v>
      </c>
      <c r="G116" s="30">
        <f t="shared" si="8"/>
        <v>0</v>
      </c>
      <c r="H116" s="30">
        <f t="shared" si="8"/>
        <v>0</v>
      </c>
    </row>
    <row r="117" spans="2:8">
      <c r="B117" s="2" t="str">
        <f t="shared" si="9"/>
        <v>[enter sewerage asset]</v>
      </c>
      <c r="D117" s="30">
        <f t="shared" si="8"/>
        <v>0</v>
      </c>
      <c r="E117" s="30">
        <f t="shared" si="8"/>
        <v>0</v>
      </c>
      <c r="F117" s="30">
        <f t="shared" si="8"/>
        <v>0</v>
      </c>
      <c r="G117" s="30">
        <f t="shared" si="8"/>
        <v>0</v>
      </c>
      <c r="H117" s="30">
        <f t="shared" si="8"/>
        <v>0</v>
      </c>
    </row>
    <row r="118" spans="2:8">
      <c r="B118" s="2" t="str">
        <f t="shared" si="9"/>
        <v>[enter sewerage asset]</v>
      </c>
      <c r="D118" s="30">
        <f t="shared" si="8"/>
        <v>0</v>
      </c>
      <c r="E118" s="30">
        <f t="shared" si="8"/>
        <v>0</v>
      </c>
      <c r="F118" s="30">
        <f t="shared" si="8"/>
        <v>0</v>
      </c>
      <c r="G118" s="30">
        <f t="shared" si="8"/>
        <v>0</v>
      </c>
      <c r="H118" s="30">
        <f t="shared" si="8"/>
        <v>0</v>
      </c>
    </row>
    <row r="119" spans="2:8">
      <c r="B119" s="2" t="str">
        <f t="shared" si="9"/>
        <v>[enter sewerage asset]</v>
      </c>
      <c r="D119" s="30">
        <f t="shared" si="8"/>
        <v>0</v>
      </c>
      <c r="E119" s="30">
        <f t="shared" si="8"/>
        <v>0</v>
      </c>
      <c r="F119" s="30">
        <f t="shared" si="8"/>
        <v>0</v>
      </c>
      <c r="G119" s="30">
        <f t="shared" si="8"/>
        <v>0</v>
      </c>
      <c r="H119" s="30">
        <f t="shared" si="8"/>
        <v>0</v>
      </c>
    </row>
    <row r="120" spans="2:8">
      <c r="B120" s="2" t="str">
        <f t="shared" si="9"/>
        <v>[enter sewerage asset]</v>
      </c>
      <c r="D120" s="30">
        <f t="shared" si="8"/>
        <v>0</v>
      </c>
      <c r="E120" s="30">
        <f t="shared" si="8"/>
        <v>0</v>
      </c>
      <c r="F120" s="30">
        <f t="shared" si="8"/>
        <v>0</v>
      </c>
      <c r="G120" s="30">
        <f t="shared" si="8"/>
        <v>0</v>
      </c>
      <c r="H120" s="30">
        <f t="shared" si="8"/>
        <v>0</v>
      </c>
    </row>
    <row r="121" spans="2:8">
      <c r="B121" s="2" t="str">
        <f t="shared" si="9"/>
        <v>[enter sewerage asset]</v>
      </c>
      <c r="D121" s="30">
        <f t="shared" si="8"/>
        <v>0</v>
      </c>
      <c r="E121" s="30">
        <f t="shared" si="8"/>
        <v>0</v>
      </c>
      <c r="F121" s="30">
        <f t="shared" si="8"/>
        <v>0</v>
      </c>
      <c r="G121" s="30">
        <f t="shared" si="8"/>
        <v>0</v>
      </c>
      <c r="H121" s="30">
        <f t="shared" si="8"/>
        <v>0</v>
      </c>
    </row>
    <row r="122" spans="2:8">
      <c r="B122" s="2" t="str">
        <f t="shared" si="9"/>
        <v>[enter sewerage asset]</v>
      </c>
      <c r="D122" s="30">
        <f t="shared" si="8"/>
        <v>0</v>
      </c>
      <c r="E122" s="30">
        <f t="shared" si="8"/>
        <v>0</v>
      </c>
      <c r="F122" s="30">
        <f t="shared" si="8"/>
        <v>0</v>
      </c>
      <c r="G122" s="30">
        <f t="shared" si="8"/>
        <v>0</v>
      </c>
      <c r="H122" s="30">
        <f t="shared" si="8"/>
        <v>0</v>
      </c>
    </row>
    <row r="123" spans="2:8">
      <c r="B123" s="2" t="str">
        <f t="shared" si="9"/>
        <v>[enter sewerage asset]</v>
      </c>
      <c r="D123" s="30">
        <f t="shared" si="8"/>
        <v>0</v>
      </c>
      <c r="E123" s="30">
        <f t="shared" si="8"/>
        <v>0</v>
      </c>
      <c r="F123" s="30">
        <f t="shared" si="8"/>
        <v>0</v>
      </c>
      <c r="G123" s="30">
        <f t="shared" si="8"/>
        <v>0</v>
      </c>
      <c r="H123" s="30">
        <f t="shared" si="8"/>
        <v>0</v>
      </c>
    </row>
    <row r="124" spans="2:8">
      <c r="D124" s="30"/>
      <c r="E124" s="30"/>
      <c r="F124" s="30"/>
      <c r="G124" s="30"/>
      <c r="H124" s="30"/>
    </row>
    <row r="125" spans="2:8">
      <c r="B125" s="2" t="s">
        <v>49</v>
      </c>
      <c r="D125" s="48">
        <f>SUM(D110:D124)</f>
        <v>377142420.86795914</v>
      </c>
      <c r="E125" s="48">
        <f>SUM(E110:E124)</f>
        <v>361296127.07372332</v>
      </c>
      <c r="F125" s="48">
        <f>SUM(F110:F124)</f>
        <v>345449833.27948749</v>
      </c>
      <c r="G125" s="48">
        <f>SUM(G110:G124)</f>
        <v>329603539.48525167</v>
      </c>
      <c r="H125" s="48">
        <f>SUM(H110:H124)</f>
        <v>313757245.69101584</v>
      </c>
    </row>
    <row r="126" spans="2:8">
      <c r="D126" s="30"/>
      <c r="E126" s="30"/>
      <c r="F126" s="30"/>
      <c r="G126" s="30"/>
      <c r="H126" s="30"/>
    </row>
    <row r="127" spans="2:8">
      <c r="D127" s="30"/>
      <c r="E127" s="30"/>
      <c r="F127" s="30"/>
      <c r="G127" s="30"/>
      <c r="H127" s="30"/>
    </row>
    <row r="128" spans="2:8">
      <c r="D128" s="30"/>
      <c r="E128" s="30"/>
      <c r="F128" s="30"/>
      <c r="G128" s="30"/>
      <c r="H128" s="30"/>
    </row>
    <row r="129" spans="4:8">
      <c r="D129" s="30"/>
      <c r="E129" s="30"/>
      <c r="F129" s="30"/>
      <c r="G129" s="30"/>
      <c r="H129" s="30"/>
    </row>
    <row r="130" spans="4:8">
      <c r="D130" s="30"/>
      <c r="E130" s="30"/>
      <c r="F130" s="30"/>
      <c r="G130" s="30"/>
      <c r="H130" s="30"/>
    </row>
    <row r="131" spans="4:8">
      <c r="D131" s="30"/>
      <c r="E131" s="30"/>
      <c r="F131" s="30"/>
      <c r="G131" s="30"/>
      <c r="H131" s="30"/>
    </row>
    <row r="132" spans="4:8">
      <c r="D132" s="30"/>
      <c r="E132" s="30"/>
      <c r="F132" s="30"/>
      <c r="G132" s="30"/>
      <c r="H132" s="30"/>
    </row>
    <row r="133" spans="4:8">
      <c r="D133" s="30"/>
      <c r="E133" s="30"/>
      <c r="F133" s="30"/>
      <c r="G133" s="30"/>
      <c r="H133" s="30"/>
    </row>
    <row r="134" spans="4:8">
      <c r="D134" s="30"/>
      <c r="E134" s="30"/>
      <c r="F134" s="30"/>
      <c r="G134" s="30"/>
      <c r="H134" s="30"/>
    </row>
    <row r="135" spans="4:8">
      <c r="D135" s="30"/>
      <c r="E135" s="30"/>
      <c r="F135" s="30"/>
      <c r="G135" s="30"/>
      <c r="H135" s="30"/>
    </row>
    <row r="136" spans="4:8">
      <c r="D136" s="30"/>
      <c r="E136" s="30"/>
      <c r="F136" s="30"/>
      <c r="G136" s="30"/>
      <c r="H136" s="30"/>
    </row>
    <row r="137" spans="4:8">
      <c r="D137" s="30"/>
      <c r="E137" s="30"/>
      <c r="F137" s="30"/>
      <c r="G137" s="30"/>
      <c r="H137" s="30"/>
    </row>
    <row r="138" spans="4:8">
      <c r="D138" s="30"/>
      <c r="E138" s="30"/>
      <c r="F138" s="30"/>
      <c r="G138" s="30"/>
      <c r="H138" s="30"/>
    </row>
    <row r="139" spans="4:8">
      <c r="D139" s="30"/>
      <c r="E139" s="30"/>
      <c r="F139" s="30"/>
      <c r="G139" s="30"/>
      <c r="H139" s="30"/>
    </row>
    <row r="140" spans="4:8">
      <c r="D140" s="30"/>
      <c r="E140" s="30"/>
      <c r="F140" s="30"/>
      <c r="G140" s="30"/>
      <c r="H140" s="30"/>
    </row>
    <row r="141" spans="4:8">
      <c r="D141" s="30"/>
      <c r="E141" s="30"/>
      <c r="F141" s="30"/>
      <c r="G141" s="30"/>
      <c r="H141" s="30"/>
    </row>
    <row r="142" spans="4:8">
      <c r="D142" s="30"/>
      <c r="E142" s="30"/>
      <c r="F142" s="30"/>
      <c r="G142" s="30"/>
      <c r="H142" s="30"/>
    </row>
    <row r="143" spans="4:8">
      <c r="D143" s="30"/>
      <c r="E143" s="30"/>
      <c r="F143" s="30"/>
      <c r="G143" s="30"/>
      <c r="H143" s="30"/>
    </row>
    <row r="144" spans="4:8">
      <c r="D144" s="30"/>
      <c r="E144" s="30"/>
      <c r="F144" s="30"/>
      <c r="G144" s="30"/>
      <c r="H144" s="30"/>
    </row>
    <row r="145" spans="4:8">
      <c r="D145" s="30"/>
      <c r="E145" s="30"/>
      <c r="F145" s="30"/>
      <c r="G145" s="30"/>
      <c r="H145" s="30"/>
    </row>
    <row r="146" spans="4:8">
      <c r="D146" s="30"/>
      <c r="E146" s="30"/>
      <c r="F146" s="30"/>
      <c r="G146" s="30"/>
      <c r="H146" s="30"/>
    </row>
    <row r="147" spans="4:8">
      <c r="D147" s="30"/>
      <c r="E147" s="30"/>
      <c r="F147" s="30"/>
      <c r="G147" s="30"/>
      <c r="H147" s="30"/>
    </row>
    <row r="148" spans="4:8">
      <c r="D148" s="30"/>
      <c r="E148" s="30"/>
      <c r="F148" s="30"/>
      <c r="G148" s="30"/>
      <c r="H148" s="30"/>
    </row>
    <row r="149" spans="4:8">
      <c r="D149" s="30"/>
      <c r="E149" s="30"/>
      <c r="F149" s="30"/>
      <c r="G149" s="30"/>
      <c r="H149" s="30"/>
    </row>
    <row r="150" spans="4:8">
      <c r="D150" s="30"/>
      <c r="E150" s="30"/>
      <c r="F150" s="30"/>
      <c r="G150" s="30"/>
      <c r="H150" s="30"/>
    </row>
    <row r="151" spans="4:8">
      <c r="D151" s="30"/>
      <c r="E151" s="30"/>
      <c r="F151" s="30"/>
      <c r="G151" s="30"/>
      <c r="H151" s="30"/>
    </row>
    <row r="152" spans="4:8">
      <c r="D152" s="30"/>
      <c r="E152" s="30"/>
      <c r="F152" s="30"/>
      <c r="G152" s="30"/>
      <c r="H152" s="30"/>
    </row>
    <row r="153" spans="4:8">
      <c r="D153" s="30"/>
      <c r="E153" s="30"/>
      <c r="F153" s="30"/>
      <c r="G153" s="30"/>
      <c r="H153" s="30"/>
    </row>
    <row r="154" spans="4:8">
      <c r="D154" s="30"/>
      <c r="E154" s="30"/>
      <c r="F154" s="30"/>
      <c r="G154" s="30"/>
      <c r="H154" s="30"/>
    </row>
    <row r="155" spans="4:8">
      <c r="D155" s="30"/>
      <c r="E155" s="30"/>
      <c r="F155" s="30"/>
      <c r="G155" s="30"/>
      <c r="H155" s="30"/>
    </row>
    <row r="156" spans="4:8">
      <c r="D156" s="30"/>
      <c r="E156" s="30"/>
      <c r="F156" s="30"/>
      <c r="G156" s="30"/>
      <c r="H156" s="30"/>
    </row>
    <row r="157" spans="4:8">
      <c r="D157" s="30"/>
      <c r="E157" s="30"/>
      <c r="F157" s="30"/>
      <c r="G157" s="30"/>
      <c r="H157" s="30"/>
    </row>
    <row r="158" spans="4:8">
      <c r="D158" s="30"/>
      <c r="E158" s="30"/>
      <c r="F158" s="30"/>
      <c r="G158" s="30"/>
      <c r="H158" s="30"/>
    </row>
    <row r="159" spans="4:8">
      <c r="D159" s="30"/>
      <c r="E159" s="30"/>
      <c r="F159" s="30"/>
      <c r="G159" s="30"/>
      <c r="H159" s="30"/>
    </row>
    <row r="160" spans="4:8">
      <c r="D160" s="30"/>
      <c r="E160" s="30"/>
      <c r="F160" s="30"/>
      <c r="G160" s="30"/>
      <c r="H160" s="30"/>
    </row>
    <row r="161" spans="4:8">
      <c r="D161" s="30"/>
      <c r="E161" s="30"/>
      <c r="F161" s="30"/>
      <c r="G161" s="30"/>
      <c r="H161" s="30"/>
    </row>
    <row r="162" spans="4:8">
      <c r="D162" s="30"/>
      <c r="E162" s="30"/>
      <c r="F162" s="30"/>
      <c r="G162" s="30"/>
      <c r="H162" s="30"/>
    </row>
    <row r="163" spans="4:8">
      <c r="D163" s="30"/>
      <c r="E163" s="30"/>
      <c r="F163" s="30"/>
      <c r="G163" s="30"/>
      <c r="H163" s="30"/>
    </row>
    <row r="164" spans="4:8">
      <c r="D164" s="30"/>
      <c r="E164" s="30"/>
      <c r="F164" s="30"/>
      <c r="G164" s="30"/>
      <c r="H164" s="30"/>
    </row>
    <row r="165" spans="4:8">
      <c r="D165" s="30"/>
      <c r="E165" s="30"/>
      <c r="F165" s="30"/>
      <c r="G165" s="30"/>
      <c r="H165" s="30"/>
    </row>
    <row r="166" spans="4:8">
      <c r="D166" s="30"/>
      <c r="E166" s="30"/>
      <c r="F166" s="30"/>
      <c r="G166" s="30"/>
      <c r="H166" s="30"/>
    </row>
    <row r="167" spans="4:8">
      <c r="D167" s="30"/>
      <c r="E167" s="30"/>
      <c r="F167" s="30"/>
      <c r="G167" s="30"/>
      <c r="H167" s="30"/>
    </row>
    <row r="168" spans="4:8">
      <c r="D168" s="30"/>
      <c r="E168" s="30"/>
      <c r="F168" s="30"/>
      <c r="G168" s="30"/>
      <c r="H168" s="30"/>
    </row>
    <row r="169" spans="4:8">
      <c r="D169" s="30"/>
      <c r="E169" s="30"/>
      <c r="F169" s="30"/>
      <c r="G169" s="30"/>
      <c r="H169" s="30"/>
    </row>
    <row r="170" spans="4:8">
      <c r="D170" s="30"/>
      <c r="E170" s="30"/>
      <c r="F170" s="30"/>
      <c r="G170" s="30"/>
      <c r="H170" s="30"/>
    </row>
    <row r="171" spans="4:8">
      <c r="D171" s="30"/>
      <c r="E171" s="30"/>
      <c r="F171" s="30"/>
      <c r="G171" s="30"/>
      <c r="H171" s="30"/>
    </row>
    <row r="172" spans="4:8">
      <c r="D172" s="30"/>
      <c r="E172" s="30"/>
      <c r="F172" s="30"/>
      <c r="G172" s="30"/>
      <c r="H172" s="30"/>
    </row>
    <row r="173" spans="4:8">
      <c r="D173" s="30"/>
      <c r="E173" s="30"/>
      <c r="F173" s="30"/>
      <c r="G173" s="30"/>
      <c r="H173" s="30"/>
    </row>
    <row r="174" spans="4:8">
      <c r="D174" s="30"/>
      <c r="E174" s="30"/>
      <c r="F174" s="30"/>
      <c r="G174" s="30"/>
      <c r="H174" s="30"/>
    </row>
    <row r="175" spans="4:8">
      <c r="D175" s="30"/>
      <c r="E175" s="30"/>
      <c r="F175" s="30"/>
      <c r="G175" s="30"/>
      <c r="H175" s="30"/>
    </row>
    <row r="176" spans="4:8">
      <c r="D176" s="30"/>
      <c r="E176" s="30"/>
      <c r="F176" s="30"/>
      <c r="G176" s="30"/>
      <c r="H176" s="30"/>
    </row>
    <row r="177" spans="4:8">
      <c r="D177" s="30"/>
      <c r="E177" s="30"/>
      <c r="F177" s="30"/>
      <c r="G177" s="30"/>
      <c r="H177" s="30"/>
    </row>
    <row r="178" spans="4:8">
      <c r="D178" s="30"/>
      <c r="E178" s="30"/>
      <c r="F178" s="30"/>
      <c r="G178" s="30"/>
      <c r="H178" s="30"/>
    </row>
    <row r="179" spans="4:8">
      <c r="D179" s="30"/>
      <c r="E179" s="30"/>
      <c r="F179" s="30"/>
      <c r="G179" s="30"/>
      <c r="H179" s="30"/>
    </row>
    <row r="180" spans="4:8">
      <c r="D180" s="30"/>
      <c r="E180" s="30"/>
      <c r="F180" s="30"/>
      <c r="G180" s="30"/>
      <c r="H180" s="30"/>
    </row>
    <row r="181" spans="4:8">
      <c r="D181" s="30"/>
      <c r="E181" s="30"/>
      <c r="F181" s="30"/>
      <c r="G181" s="30"/>
      <c r="H181" s="30"/>
    </row>
    <row r="182" spans="4:8">
      <c r="D182" s="30"/>
      <c r="E182" s="30"/>
      <c r="F182" s="30"/>
      <c r="G182" s="30"/>
      <c r="H182" s="30"/>
    </row>
    <row r="183" spans="4:8">
      <c r="D183" s="30"/>
      <c r="E183" s="30"/>
      <c r="F183" s="30"/>
      <c r="G183" s="30"/>
      <c r="H183" s="30"/>
    </row>
    <row r="184" spans="4:8">
      <c r="D184" s="30"/>
      <c r="E184" s="30"/>
      <c r="F184" s="30"/>
      <c r="G184" s="30"/>
      <c r="H184" s="30"/>
    </row>
    <row r="185" spans="4:8">
      <c r="D185" s="30"/>
      <c r="E185" s="30"/>
      <c r="F185" s="30"/>
      <c r="G185" s="30"/>
      <c r="H185" s="30"/>
    </row>
    <row r="186" spans="4:8">
      <c r="D186" s="30"/>
      <c r="E186" s="30"/>
      <c r="F186" s="30"/>
      <c r="G186" s="30"/>
      <c r="H186" s="30"/>
    </row>
    <row r="187" spans="4:8">
      <c r="D187" s="30"/>
      <c r="E187" s="30"/>
      <c r="F187" s="30"/>
      <c r="G187" s="30"/>
      <c r="H187" s="30"/>
    </row>
    <row r="188" spans="4:8">
      <c r="D188" s="30"/>
      <c r="E188" s="30"/>
      <c r="F188" s="30"/>
      <c r="G188" s="30"/>
      <c r="H188" s="30"/>
    </row>
    <row r="189" spans="4:8">
      <c r="D189" s="30"/>
      <c r="E189" s="30"/>
      <c r="F189" s="30"/>
      <c r="G189" s="30"/>
      <c r="H189" s="30"/>
    </row>
    <row r="190" spans="4:8">
      <c r="D190" s="30"/>
      <c r="E190" s="30"/>
      <c r="F190" s="30"/>
      <c r="G190" s="30"/>
      <c r="H190" s="30"/>
    </row>
    <row r="191" spans="4:8">
      <c r="D191" s="30"/>
      <c r="E191" s="30"/>
      <c r="F191" s="30"/>
      <c r="G191" s="30"/>
      <c r="H191" s="30"/>
    </row>
    <row r="192" spans="4:8">
      <c r="D192" s="30"/>
      <c r="E192" s="30"/>
      <c r="F192" s="30"/>
      <c r="G192" s="30"/>
      <c r="H192" s="30"/>
    </row>
    <row r="193" spans="4:8">
      <c r="D193" s="30"/>
      <c r="E193" s="30"/>
      <c r="F193" s="30"/>
      <c r="G193" s="30"/>
      <c r="H193" s="30"/>
    </row>
    <row r="194" spans="4:8">
      <c r="D194" s="30"/>
      <c r="E194" s="30"/>
      <c r="F194" s="30"/>
      <c r="G194" s="30"/>
      <c r="H194" s="30"/>
    </row>
    <row r="195" spans="4:8">
      <c r="D195" s="30"/>
      <c r="E195" s="30"/>
      <c r="F195" s="30"/>
      <c r="G195" s="30"/>
      <c r="H195" s="30"/>
    </row>
    <row r="196" spans="4:8">
      <c r="D196" s="30"/>
      <c r="E196" s="30"/>
      <c r="F196" s="30"/>
      <c r="G196" s="30"/>
      <c r="H196" s="30"/>
    </row>
    <row r="197" spans="4:8">
      <c r="D197" s="30"/>
      <c r="E197" s="30"/>
      <c r="F197" s="30"/>
      <c r="G197" s="30"/>
      <c r="H197" s="30"/>
    </row>
    <row r="198" spans="4:8">
      <c r="D198" s="30"/>
      <c r="E198" s="30"/>
      <c r="F198" s="30"/>
      <c r="G198" s="30"/>
      <c r="H198" s="30"/>
    </row>
    <row r="199" spans="4:8">
      <c r="D199" s="30"/>
      <c r="E199" s="30"/>
      <c r="F199" s="30"/>
      <c r="G199" s="30"/>
      <c r="H199" s="30"/>
    </row>
    <row r="200" spans="4:8">
      <c r="D200" s="30"/>
      <c r="E200" s="30"/>
      <c r="F200" s="30"/>
      <c r="G200" s="30"/>
      <c r="H200" s="30"/>
    </row>
    <row r="201" spans="4:8">
      <c r="D201" s="30"/>
      <c r="E201" s="30"/>
      <c r="F201" s="30"/>
      <c r="G201" s="30"/>
      <c r="H201" s="30"/>
    </row>
    <row r="202" spans="4:8">
      <c r="D202" s="30"/>
      <c r="E202" s="30"/>
      <c r="F202" s="30"/>
      <c r="G202" s="30"/>
      <c r="H202" s="30"/>
    </row>
    <row r="203" spans="4:8">
      <c r="D203" s="30"/>
      <c r="E203" s="30"/>
      <c r="F203" s="30"/>
      <c r="G203" s="30"/>
      <c r="H203" s="30"/>
    </row>
    <row r="204" spans="4:8">
      <c r="D204" s="30"/>
      <c r="E204" s="30"/>
      <c r="F204" s="30"/>
      <c r="G204" s="30"/>
      <c r="H204" s="30"/>
    </row>
    <row r="205" spans="4:8">
      <c r="D205" s="30"/>
      <c r="E205" s="30"/>
      <c r="F205" s="30"/>
      <c r="G205" s="30"/>
      <c r="H205" s="30"/>
    </row>
    <row r="206" spans="4:8">
      <c r="D206" s="30"/>
      <c r="E206" s="30"/>
      <c r="F206" s="30"/>
      <c r="G206" s="30"/>
      <c r="H206" s="30"/>
    </row>
    <row r="207" spans="4:8">
      <c r="D207" s="30"/>
      <c r="E207" s="30"/>
      <c r="F207" s="30"/>
      <c r="G207" s="30"/>
      <c r="H207" s="30"/>
    </row>
    <row r="208" spans="4:8">
      <c r="D208" s="30"/>
      <c r="E208" s="30"/>
      <c r="F208" s="30"/>
      <c r="G208" s="30"/>
      <c r="H208" s="30"/>
    </row>
    <row r="209" spans="4:8">
      <c r="D209" s="30"/>
      <c r="E209" s="30"/>
      <c r="F209" s="30"/>
      <c r="G209" s="30"/>
      <c r="H209" s="30"/>
    </row>
    <row r="210" spans="4:8">
      <c r="D210" s="30"/>
      <c r="E210" s="30"/>
      <c r="F210" s="30"/>
      <c r="G210" s="30"/>
      <c r="H210" s="30"/>
    </row>
    <row r="211" spans="4:8">
      <c r="D211" s="30"/>
      <c r="E211" s="30"/>
      <c r="F211" s="30"/>
      <c r="G211" s="30"/>
      <c r="H211" s="30"/>
    </row>
    <row r="212" spans="4:8">
      <c r="D212" s="30"/>
      <c r="E212" s="30"/>
      <c r="F212" s="30"/>
      <c r="G212" s="30"/>
      <c r="H212" s="30"/>
    </row>
    <row r="213" spans="4:8">
      <c r="D213" s="30"/>
      <c r="E213" s="30"/>
      <c r="F213" s="30"/>
      <c r="G213" s="30"/>
      <c r="H213" s="30"/>
    </row>
    <row r="214" spans="4:8">
      <c r="D214" s="30"/>
      <c r="E214" s="30"/>
      <c r="F214" s="30"/>
      <c r="G214" s="30"/>
      <c r="H214" s="30"/>
    </row>
  </sheetData>
  <pageMargins left="0" right="0" top="0" bottom="0" header="0" footer="0"/>
  <pageSetup paperSize="9" scale="75"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FC780A99-F5A0-0447-81F0-168258B98448}">
            <xm:f>'2. Notes and Assumptions'!$D$92="ERROR"</xm:f>
            <x14:dxf>
              <font>
                <color theme="0"/>
              </font>
              <fill>
                <patternFill patternType="solid">
                  <fgColor indexed="64"/>
                  <bgColor rgb="FFFF0000"/>
                </patternFill>
              </fill>
            </x14:dxf>
          </x14:cfRule>
          <x14:cfRule type="expression" priority="2" id="{D3EBDEFA-B2AF-924D-B1B4-FA821F80615D}">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sheetPr codeName="Sheet30"/>
  <dimension ref="A1:H1186"/>
  <sheetViews>
    <sheetView zoomScaleNormal="100" workbookViewId="0">
      <pane ySplit="4" topLeftCell="A5" activePane="bottomLeft" state="frozen"/>
      <selection activeCell="A58" sqref="A58"/>
      <selection pane="bottomLeft" activeCell="C39" sqref="C39"/>
    </sheetView>
  </sheetViews>
  <sheetFormatPr defaultColWidth="10.6640625" defaultRowHeight="15"/>
  <cols>
    <col min="1" max="1" width="30.6640625" style="35" customWidth="1"/>
    <col min="2" max="2" width="40.109375" style="2" customWidth="1"/>
    <col min="3" max="3" width="8.77734375" style="2" customWidth="1"/>
    <col min="4" max="6" width="11.21875" style="2" customWidth="1"/>
    <col min="7" max="7" width="11.33203125" style="2" customWidth="1"/>
    <col min="8" max="8" width="11.77734375" style="2" customWidth="1"/>
    <col min="9" max="16384" width="10.6640625" style="2"/>
  </cols>
  <sheetData>
    <row r="1" spans="1:8" s="6" customFormat="1" ht="21" customHeight="1">
      <c r="A1" s="1" t="s">
        <v>115</v>
      </c>
    </row>
    <row r="2" spans="1:8" ht="19.5" customHeight="1">
      <c r="A2" s="3" t="str">
        <f ca="1">MID(CELL("filename",A1),FIND("]",CELL("filename",A1))+1,LEN(CELL("filename",A1))-FIND("]",CELL("filename",A1)))</f>
        <v>23. Sewer - Capex Tax BV</v>
      </c>
      <c r="B2" s="1"/>
      <c r="C2" s="1"/>
      <c r="D2" s="1"/>
      <c r="E2" s="1"/>
      <c r="F2" s="1"/>
      <c r="G2" s="1"/>
      <c r="H2" s="1"/>
    </row>
    <row r="3" spans="1:8" s="6" customFormat="1">
      <c r="A3" s="35"/>
      <c r="B3" s="63"/>
      <c r="C3" s="16" t="s">
        <v>0</v>
      </c>
      <c r="D3" s="17">
        <v>1</v>
      </c>
      <c r="E3" s="17">
        <v>2</v>
      </c>
      <c r="F3" s="17">
        <v>3</v>
      </c>
      <c r="G3" s="17">
        <v>4</v>
      </c>
      <c r="H3" s="17">
        <v>5</v>
      </c>
    </row>
    <row r="4" spans="1:8" s="6" customFormat="1">
      <c r="A4" s="35"/>
      <c r="B4" s="65"/>
      <c r="C4" s="18" t="s">
        <v>1</v>
      </c>
      <c r="D4" s="19" t="s">
        <v>10</v>
      </c>
      <c r="E4" s="19" t="s">
        <v>11</v>
      </c>
      <c r="F4" s="19" t="s">
        <v>2</v>
      </c>
      <c r="G4" s="19" t="s">
        <v>3</v>
      </c>
      <c r="H4" s="19" t="s">
        <v>4</v>
      </c>
    </row>
    <row r="5" spans="1:8" ht="15.75">
      <c r="B5" s="151" t="s">
        <v>19</v>
      </c>
    </row>
    <row r="6" spans="1:8">
      <c r="B6" s="152" t="s">
        <v>20</v>
      </c>
      <c r="D6" s="67">
        <f ca="1">'3. General Model Inputs'!E8</f>
        <v>2.5000000000000001E-2</v>
      </c>
      <c r="E6" s="67">
        <f ca="1">'3. General Model Inputs'!F8</f>
        <v>2.5000000000000001E-2</v>
      </c>
      <c r="F6" s="67">
        <f ca="1">'3. General Model Inputs'!G8</f>
        <v>2.5000000000000001E-2</v>
      </c>
      <c r="G6" s="67">
        <f ca="1">'3. General Model Inputs'!H8</f>
        <v>2.5000000000000001E-2</v>
      </c>
      <c r="H6" s="67">
        <f ca="1">'3. General Model Inputs'!I8</f>
        <v>2.5000000000000001E-2</v>
      </c>
    </row>
    <row r="7" spans="1:8">
      <c r="B7" s="152"/>
    </row>
    <row r="8" spans="1:8" ht="15.75">
      <c r="B8" s="151" t="s">
        <v>142</v>
      </c>
    </row>
    <row r="9" spans="1:8">
      <c r="B9" s="153" t="s">
        <v>117</v>
      </c>
      <c r="D9" s="46">
        <f>D351</f>
        <v>0</v>
      </c>
      <c r="E9" s="46">
        <f t="shared" ref="E9:H9" si="0">E351</f>
        <v>17782815.074312497</v>
      </c>
      <c r="F9" s="46">
        <f t="shared" si="0"/>
        <v>53652457.91253259</v>
      </c>
      <c r="G9" s="46">
        <f t="shared" si="0"/>
        <v>116246785.30471021</v>
      </c>
      <c r="H9" s="46">
        <f t="shared" si="0"/>
        <v>220508353.05029303</v>
      </c>
    </row>
    <row r="10" spans="1:8">
      <c r="B10" s="153" t="s">
        <v>27</v>
      </c>
      <c r="D10" s="46">
        <f>D518</f>
        <v>0</v>
      </c>
      <c r="E10" s="46">
        <f t="shared" ref="E10:H10" si="1">E518</f>
        <v>0</v>
      </c>
      <c r="F10" s="46">
        <f t="shared" si="1"/>
        <v>0</v>
      </c>
      <c r="G10" s="46">
        <f t="shared" si="1"/>
        <v>0</v>
      </c>
      <c r="H10" s="46">
        <f t="shared" si="1"/>
        <v>0</v>
      </c>
    </row>
    <row r="11" spans="1:8">
      <c r="B11" s="153" t="s">
        <v>18</v>
      </c>
      <c r="D11" s="46">
        <f>D685</f>
        <v>18109193.155000001</v>
      </c>
      <c r="E11" s="46">
        <f t="shared" ref="E11:H11" si="2">E685</f>
        <v>38228808.72733333</v>
      </c>
      <c r="F11" s="46">
        <f t="shared" si="2"/>
        <v>65574843.814870872</v>
      </c>
      <c r="G11" s="46">
        <f t="shared" si="2"/>
        <v>109864792.71068065</v>
      </c>
      <c r="H11" s="46">
        <f t="shared" si="2"/>
        <v>70187218.442713186</v>
      </c>
    </row>
    <row r="12" spans="1:8">
      <c r="B12" s="153" t="s">
        <v>12</v>
      </c>
      <c r="D12" s="46">
        <f>D852</f>
        <v>0</v>
      </c>
      <c r="E12" s="46">
        <f t="shared" ref="E12:H12" si="3">E852</f>
        <v>0</v>
      </c>
      <c r="F12" s="46">
        <f t="shared" si="3"/>
        <v>0</v>
      </c>
      <c r="G12" s="46">
        <f t="shared" si="3"/>
        <v>0</v>
      </c>
      <c r="H12" s="46">
        <f t="shared" si="3"/>
        <v>0</v>
      </c>
    </row>
    <row r="13" spans="1:8">
      <c r="B13" s="153" t="s">
        <v>13</v>
      </c>
      <c r="D13" s="46">
        <f>D1019</f>
        <v>-326378.08068750001</v>
      </c>
      <c r="E13" s="46">
        <f t="shared" ref="E13:H13" si="4">E1019</f>
        <v>-2359165.8891132209</v>
      </c>
      <c r="F13" s="46">
        <f t="shared" si="4"/>
        <v>-2980516.4226932456</v>
      </c>
      <c r="G13" s="46">
        <f t="shared" si="4"/>
        <v>-5603224.9650979787</v>
      </c>
      <c r="H13" s="46">
        <f t="shared" si="4"/>
        <v>-8461588.5615019053</v>
      </c>
    </row>
    <row r="14" spans="1:8">
      <c r="B14" s="153" t="s">
        <v>118</v>
      </c>
      <c r="D14" s="30">
        <f>D1186</f>
        <v>17782815.074312497</v>
      </c>
      <c r="E14" s="30">
        <f t="shared" ref="E14:H14" si="5">E1186</f>
        <v>53652457.91253259</v>
      </c>
      <c r="F14" s="30">
        <f t="shared" si="5"/>
        <v>116246785.30471021</v>
      </c>
      <c r="G14" s="30">
        <f t="shared" si="5"/>
        <v>220508353.05029303</v>
      </c>
      <c r="H14" s="30">
        <f t="shared" si="5"/>
        <v>282233982.93150431</v>
      </c>
    </row>
    <row r="15" spans="1:8">
      <c r="B15" s="152"/>
      <c r="D15" s="30"/>
      <c r="E15" s="30"/>
      <c r="F15" s="30"/>
      <c r="G15" s="30"/>
      <c r="H15" s="30"/>
    </row>
    <row r="16" spans="1:8">
      <c r="B16" s="154" t="s">
        <v>133</v>
      </c>
      <c r="C16" s="12"/>
      <c r="D16" s="13">
        <f>SUM(D9:D13)-D14</f>
        <v>0</v>
      </c>
      <c r="E16" s="13">
        <f>SUM(E9:E13)-E14</f>
        <v>0</v>
      </c>
      <c r="F16" s="13">
        <f>SUM(F9:F13)-F14</f>
        <v>0</v>
      </c>
      <c r="G16" s="13">
        <f>SUM(G9:G13)-G14</f>
        <v>0</v>
      </c>
      <c r="H16" s="13">
        <f>SUM(H9:H13)-H14</f>
        <v>0</v>
      </c>
    </row>
    <row r="17" spans="2:8">
      <c r="B17" s="155" t="s">
        <v>135</v>
      </c>
      <c r="C17" s="12"/>
      <c r="D17" s="12"/>
      <c r="E17" s="12"/>
      <c r="F17" s="12"/>
      <c r="G17" s="12"/>
      <c r="H17" s="13">
        <f>SUM(D11:H11)-SUM('19. Sewer - Capex Input'!J4:J166)</f>
        <v>0</v>
      </c>
    </row>
    <row r="18" spans="2:8">
      <c r="B18" s="156"/>
    </row>
    <row r="19" spans="2:8" ht="15.75">
      <c r="B19" s="151" t="s">
        <v>141</v>
      </c>
    </row>
    <row r="20" spans="2:8" ht="15.75">
      <c r="B20" s="151" t="s">
        <v>48</v>
      </c>
    </row>
    <row r="21" spans="2:8">
      <c r="B21" s="152">
        <f>'19. Sewer - Capex Input'!F4</f>
        <v>0</v>
      </c>
      <c r="D21" s="30">
        <f>IF('19. Sewer - Capex Input'!$I4=D$3,'19. Sewer - Capex Input'!$G4,IF(C21&gt;1,C21-1,0))</f>
        <v>60</v>
      </c>
      <c r="E21" s="30">
        <f>IF('19. Sewer - Capex Input'!$I4=E$3,'19. Sewer - Capex Input'!$G4,IF(D21&gt;1,D21-1,0))</f>
        <v>59</v>
      </c>
      <c r="F21" s="30">
        <f>IF('19. Sewer - Capex Input'!$I4=F$3,'19. Sewer - Capex Input'!$G4,IF(E21&gt;1,E21-1,0))</f>
        <v>58</v>
      </c>
      <c r="G21" s="30">
        <f>IF('19. Sewer - Capex Input'!$I4=G$3,'19. Sewer - Capex Input'!$G4,IF(F21&gt;1,F21-1,0))</f>
        <v>57</v>
      </c>
      <c r="H21" s="30">
        <f>IF('19. Sewer - Capex Input'!$I4=H$3,'19. Sewer - Capex Input'!$G4,IF(G21&gt;1,G21-1,0))</f>
        <v>56</v>
      </c>
    </row>
    <row r="22" spans="2:8">
      <c r="B22" s="152">
        <f>'19. Sewer - Capex Input'!F5</f>
        <v>0</v>
      </c>
      <c r="D22" s="30">
        <f>IF('19. Sewer - Capex Input'!$I5=D$3,'19. Sewer - Capex Input'!$G5,IF(C22&gt;1,C22-1,0))</f>
        <v>0</v>
      </c>
      <c r="E22" s="30">
        <f>IF('19. Sewer - Capex Input'!$I5=E$3,'19. Sewer - Capex Input'!$G5,IF(D22&gt;1,D22-1,0))</f>
        <v>60</v>
      </c>
      <c r="F22" s="30">
        <f>IF('19. Sewer - Capex Input'!$I5=F$3,'19. Sewer - Capex Input'!$G5,IF(E22&gt;1,E22-1,0))</f>
        <v>59</v>
      </c>
      <c r="G22" s="30">
        <f>IF('19. Sewer - Capex Input'!$I5=G$3,'19. Sewer - Capex Input'!$G5,IF(F22&gt;1,F22-1,0))</f>
        <v>58</v>
      </c>
      <c r="H22" s="30">
        <f>IF('19. Sewer - Capex Input'!$I5=H$3,'19. Sewer - Capex Input'!$G5,IF(G22&gt;1,G22-1,0))</f>
        <v>57</v>
      </c>
    </row>
    <row r="23" spans="2:8">
      <c r="B23" s="152">
        <f>'19. Sewer - Capex Input'!F6</f>
        <v>0</v>
      </c>
      <c r="D23" s="30">
        <f>IF('19. Sewer - Capex Input'!$I6=D$3,'19. Sewer - Capex Input'!$G6,IF(C23&gt;1,C23-1,0))</f>
        <v>0</v>
      </c>
      <c r="E23" s="30">
        <f>IF('19. Sewer - Capex Input'!$I6=E$3,'19. Sewer - Capex Input'!$G6,IF(D23&gt;1,D23-1,0))</f>
        <v>0</v>
      </c>
      <c r="F23" s="30">
        <f>IF('19. Sewer - Capex Input'!$I6=F$3,'19. Sewer - Capex Input'!$G6,IF(E23&gt;1,E23-1,0))</f>
        <v>60</v>
      </c>
      <c r="G23" s="30">
        <f>IF('19. Sewer - Capex Input'!$I6=G$3,'19. Sewer - Capex Input'!$G6,IF(F23&gt;1,F23-1,0))</f>
        <v>59</v>
      </c>
      <c r="H23" s="30">
        <f>IF('19. Sewer - Capex Input'!$I6=H$3,'19. Sewer - Capex Input'!$G6,IF(G23&gt;1,G23-1,0))</f>
        <v>58</v>
      </c>
    </row>
    <row r="24" spans="2:8">
      <c r="B24" s="152">
        <f>'19. Sewer - Capex Input'!F7</f>
        <v>0</v>
      </c>
      <c r="D24" s="30">
        <f>IF('19. Sewer - Capex Input'!$I7=D$3,'19. Sewer - Capex Input'!$G7,IF(C24&gt;1,C24-1,0))</f>
        <v>15</v>
      </c>
      <c r="E24" s="30">
        <f>IF('19. Sewer - Capex Input'!$I7=E$3,'19. Sewer - Capex Input'!$G7,IF(D24&gt;1,D24-1,0))</f>
        <v>14</v>
      </c>
      <c r="F24" s="30">
        <f>IF('19. Sewer - Capex Input'!$I7=F$3,'19. Sewer - Capex Input'!$G7,IF(E24&gt;1,E24-1,0))</f>
        <v>13</v>
      </c>
      <c r="G24" s="30">
        <f>IF('19. Sewer - Capex Input'!$I7=G$3,'19. Sewer - Capex Input'!$G7,IF(F24&gt;1,F24-1,0))</f>
        <v>12</v>
      </c>
      <c r="H24" s="30">
        <f>IF('19. Sewer - Capex Input'!$I7=H$3,'19. Sewer - Capex Input'!$G7,IF(G24&gt;1,G24-1,0))</f>
        <v>11</v>
      </c>
    </row>
    <row r="25" spans="2:8">
      <c r="B25" s="152">
        <f>'19. Sewer - Capex Input'!F8</f>
        <v>0</v>
      </c>
      <c r="D25" s="30">
        <f>IF('19. Sewer - Capex Input'!$I8=D$3,'19. Sewer - Capex Input'!$G8,IF(C25&gt;1,C25-1,0))</f>
        <v>0</v>
      </c>
      <c r="E25" s="30">
        <f>IF('19. Sewer - Capex Input'!$I8=E$3,'19. Sewer - Capex Input'!$G8,IF(D25&gt;1,D25-1,0))</f>
        <v>15</v>
      </c>
      <c r="F25" s="30">
        <f>IF('19. Sewer - Capex Input'!$I8=F$3,'19. Sewer - Capex Input'!$G8,IF(E25&gt;1,E25-1,0))</f>
        <v>14</v>
      </c>
      <c r="G25" s="30">
        <f>IF('19. Sewer - Capex Input'!$I8=G$3,'19. Sewer - Capex Input'!$G8,IF(F25&gt;1,F25-1,0))</f>
        <v>13</v>
      </c>
      <c r="H25" s="30">
        <f>IF('19. Sewer - Capex Input'!$I8=H$3,'19. Sewer - Capex Input'!$G8,IF(G25&gt;1,G25-1,0))</f>
        <v>12</v>
      </c>
    </row>
    <row r="26" spans="2:8">
      <c r="B26" s="152">
        <f>'19. Sewer - Capex Input'!F9</f>
        <v>0</v>
      </c>
      <c r="D26" s="30">
        <f>IF('19. Sewer - Capex Input'!$I9=D$3,'19. Sewer - Capex Input'!$G9,IF(C26&gt;1,C26-1,0))</f>
        <v>60</v>
      </c>
      <c r="E26" s="30">
        <f>IF('19. Sewer - Capex Input'!$I9=E$3,'19. Sewer - Capex Input'!$G9,IF(D26&gt;1,D26-1,0))</f>
        <v>59</v>
      </c>
      <c r="F26" s="30">
        <f>IF('19. Sewer - Capex Input'!$I9=F$3,'19. Sewer - Capex Input'!$G9,IF(E26&gt;1,E26-1,0))</f>
        <v>58</v>
      </c>
      <c r="G26" s="30">
        <f>IF('19. Sewer - Capex Input'!$I9=G$3,'19. Sewer - Capex Input'!$G9,IF(F26&gt;1,F26-1,0))</f>
        <v>57</v>
      </c>
      <c r="H26" s="30">
        <f>IF('19. Sewer - Capex Input'!$I9=H$3,'19. Sewer - Capex Input'!$G9,IF(G26&gt;1,G26-1,0))</f>
        <v>56</v>
      </c>
    </row>
    <row r="27" spans="2:8">
      <c r="B27" s="152">
        <f>'19. Sewer - Capex Input'!F10</f>
        <v>0</v>
      </c>
      <c r="D27" s="30">
        <f>IF('19. Sewer - Capex Input'!$I10=D$3,'19. Sewer - Capex Input'!$G10,IF(C27&gt;1,C27-1,0))</f>
        <v>0</v>
      </c>
      <c r="E27" s="30">
        <f>IF('19. Sewer - Capex Input'!$I10=E$3,'19. Sewer - Capex Input'!$G10,IF(D27&gt;1,D27-1,0))</f>
        <v>60</v>
      </c>
      <c r="F27" s="30">
        <f>IF('19. Sewer - Capex Input'!$I10=F$3,'19. Sewer - Capex Input'!$G10,IF(E27&gt;1,E27-1,0))</f>
        <v>59</v>
      </c>
      <c r="G27" s="30">
        <f>IF('19. Sewer - Capex Input'!$I10=G$3,'19. Sewer - Capex Input'!$G10,IF(F27&gt;1,F27-1,0))</f>
        <v>58</v>
      </c>
      <c r="H27" s="30">
        <f>IF('19. Sewer - Capex Input'!$I10=H$3,'19. Sewer - Capex Input'!$G10,IF(G27&gt;1,G27-1,0))</f>
        <v>57</v>
      </c>
    </row>
    <row r="28" spans="2:8">
      <c r="B28" s="152">
        <f>'19. Sewer - Capex Input'!F11</f>
        <v>0</v>
      </c>
      <c r="D28" s="30">
        <f>IF('19. Sewer - Capex Input'!$I11=D$3,'19. Sewer - Capex Input'!$G11,IF(C28&gt;1,C28-1,0))</f>
        <v>0</v>
      </c>
      <c r="E28" s="30">
        <f>IF('19. Sewer - Capex Input'!$I11=E$3,'19. Sewer - Capex Input'!$G11,IF(D28&gt;1,D28-1,0))</f>
        <v>0</v>
      </c>
      <c r="F28" s="30">
        <f>IF('19. Sewer - Capex Input'!$I11=F$3,'19. Sewer - Capex Input'!$G11,IF(E28&gt;1,E28-1,0))</f>
        <v>60</v>
      </c>
      <c r="G28" s="30">
        <f>IF('19. Sewer - Capex Input'!$I11=G$3,'19. Sewer - Capex Input'!$G11,IF(F28&gt;1,F28-1,0))</f>
        <v>59</v>
      </c>
      <c r="H28" s="30">
        <f>IF('19. Sewer - Capex Input'!$I11=H$3,'19. Sewer - Capex Input'!$G11,IF(G28&gt;1,G28-1,0))</f>
        <v>58</v>
      </c>
    </row>
    <row r="29" spans="2:8">
      <c r="B29" s="152">
        <f>'19. Sewer - Capex Input'!F12</f>
        <v>0</v>
      </c>
      <c r="D29" s="30">
        <f>IF('19. Sewer - Capex Input'!$I12=D$3,'19. Sewer - Capex Input'!$G12,IF(C29&gt;1,C29-1,0))</f>
        <v>30</v>
      </c>
      <c r="E29" s="30">
        <f>IF('19. Sewer - Capex Input'!$I12=E$3,'19. Sewer - Capex Input'!$G12,IF(D29&gt;1,D29-1,0))</f>
        <v>29</v>
      </c>
      <c r="F29" s="30">
        <f>IF('19. Sewer - Capex Input'!$I12=F$3,'19. Sewer - Capex Input'!$G12,IF(E29&gt;1,E29-1,0))</f>
        <v>28</v>
      </c>
      <c r="G29" s="30">
        <f>IF('19. Sewer - Capex Input'!$I12=G$3,'19. Sewer - Capex Input'!$G12,IF(F29&gt;1,F29-1,0))</f>
        <v>27</v>
      </c>
      <c r="H29" s="30">
        <f>IF('19. Sewer - Capex Input'!$I12=H$3,'19. Sewer - Capex Input'!$G12,IF(G29&gt;1,G29-1,0))</f>
        <v>26</v>
      </c>
    </row>
    <row r="30" spans="2:8">
      <c r="B30" s="152">
        <f>'19. Sewer - Capex Input'!F13</f>
        <v>0</v>
      </c>
      <c r="D30" s="30">
        <f>IF('19. Sewer - Capex Input'!$I13=D$3,'19. Sewer - Capex Input'!$G13,IF(C30&gt;1,C30-1,0))</f>
        <v>0</v>
      </c>
      <c r="E30" s="30">
        <f>IF('19. Sewer - Capex Input'!$I13=E$3,'19. Sewer - Capex Input'!$G13,IF(D30&gt;1,D30-1,0))</f>
        <v>30</v>
      </c>
      <c r="F30" s="30">
        <f>IF('19. Sewer - Capex Input'!$I13=F$3,'19. Sewer - Capex Input'!$G13,IF(E30&gt;1,E30-1,0))</f>
        <v>29</v>
      </c>
      <c r="G30" s="30">
        <f>IF('19. Sewer - Capex Input'!$I13=G$3,'19. Sewer - Capex Input'!$G13,IF(F30&gt;1,F30-1,0))</f>
        <v>28</v>
      </c>
      <c r="H30" s="30">
        <f>IF('19. Sewer - Capex Input'!$I13=H$3,'19. Sewer - Capex Input'!$G13,IF(G30&gt;1,G30-1,0))</f>
        <v>27</v>
      </c>
    </row>
    <row r="31" spans="2:8">
      <c r="B31" s="152">
        <f>'19. Sewer - Capex Input'!F14</f>
        <v>0</v>
      </c>
      <c r="D31" s="30">
        <f>IF('19. Sewer - Capex Input'!$I14=D$3,'19. Sewer - Capex Input'!$G14,IF(C31&gt;1,C31-1,0))</f>
        <v>0</v>
      </c>
      <c r="E31" s="30">
        <f>IF('19. Sewer - Capex Input'!$I14=E$3,'19. Sewer - Capex Input'!$G14,IF(D31&gt;1,D31-1,0))</f>
        <v>0</v>
      </c>
      <c r="F31" s="30">
        <f>IF('19. Sewer - Capex Input'!$I14=F$3,'19. Sewer - Capex Input'!$G14,IF(E31&gt;1,E31-1,0))</f>
        <v>30</v>
      </c>
      <c r="G31" s="30">
        <f>IF('19. Sewer - Capex Input'!$I14=G$3,'19. Sewer - Capex Input'!$G14,IF(F31&gt;1,F31-1,0))</f>
        <v>29</v>
      </c>
      <c r="H31" s="30">
        <f>IF('19. Sewer - Capex Input'!$I14=H$3,'19. Sewer - Capex Input'!$G14,IF(G31&gt;1,G31-1,0))</f>
        <v>28</v>
      </c>
    </row>
    <row r="32" spans="2:8">
      <c r="B32" s="152">
        <f>'19. Sewer - Capex Input'!F15</f>
        <v>0</v>
      </c>
      <c r="D32" s="30">
        <f>IF('19. Sewer - Capex Input'!$I15=D$3,'19. Sewer - Capex Input'!$G15,IF(C32&gt;1,C32-1,0))</f>
        <v>0</v>
      </c>
      <c r="E32" s="30">
        <f>IF('19. Sewer - Capex Input'!$I15=E$3,'19. Sewer - Capex Input'!$G15,IF(D32&gt;1,D32-1,0))</f>
        <v>0</v>
      </c>
      <c r="F32" s="30">
        <f>IF('19. Sewer - Capex Input'!$I15=F$3,'19. Sewer - Capex Input'!$G15,IF(E32&gt;1,E32-1,0))</f>
        <v>0</v>
      </c>
      <c r="G32" s="30">
        <f>IF('19. Sewer - Capex Input'!$I15=G$3,'19. Sewer - Capex Input'!$G15,IF(F32&gt;1,F32-1,0))</f>
        <v>30</v>
      </c>
      <c r="H32" s="30">
        <f>IF('19. Sewer - Capex Input'!$I15=H$3,'19. Sewer - Capex Input'!$G15,IF(G32&gt;1,G32-1,0))</f>
        <v>29</v>
      </c>
    </row>
    <row r="33" spans="2:8">
      <c r="B33" s="152">
        <f>'19. Sewer - Capex Input'!F16</f>
        <v>0</v>
      </c>
      <c r="D33" s="30">
        <f>IF('19. Sewer - Capex Input'!$I16=D$3,'19. Sewer - Capex Input'!$G16,IF(C33&gt;1,C33-1,0))</f>
        <v>0</v>
      </c>
      <c r="E33" s="30">
        <f>IF('19. Sewer - Capex Input'!$I16=E$3,'19. Sewer - Capex Input'!$G16,IF(D33&gt;1,D33-1,0))</f>
        <v>0</v>
      </c>
      <c r="F33" s="30">
        <f>IF('19. Sewer - Capex Input'!$I16=F$3,'19. Sewer - Capex Input'!$G16,IF(E33&gt;1,E33-1,0))</f>
        <v>0</v>
      </c>
      <c r="G33" s="30">
        <f>IF('19. Sewer - Capex Input'!$I16=G$3,'19. Sewer - Capex Input'!$G16,IF(F33&gt;1,F33-1,0))</f>
        <v>0</v>
      </c>
      <c r="H33" s="30">
        <f>IF('19. Sewer - Capex Input'!$I16=H$3,'19. Sewer - Capex Input'!$G16,IF(G33&gt;1,G33-1,0))</f>
        <v>30</v>
      </c>
    </row>
    <row r="34" spans="2:8">
      <c r="B34" s="152">
        <f>'19. Sewer - Capex Input'!F17</f>
        <v>0</v>
      </c>
      <c r="D34" s="30">
        <f>IF('19. Sewer - Capex Input'!$I17=D$3,'19. Sewer - Capex Input'!$G17,IF(C34&gt;1,C34-1,0))</f>
        <v>0</v>
      </c>
      <c r="E34" s="30">
        <f>IF('19. Sewer - Capex Input'!$I17=E$3,'19. Sewer - Capex Input'!$G17,IF(D34&gt;1,D34-1,0))</f>
        <v>30</v>
      </c>
      <c r="F34" s="30">
        <f>IF('19. Sewer - Capex Input'!$I17=F$3,'19. Sewer - Capex Input'!$G17,IF(E34&gt;1,E34-1,0))</f>
        <v>29</v>
      </c>
      <c r="G34" s="30">
        <f>IF('19. Sewer - Capex Input'!$I17=G$3,'19. Sewer - Capex Input'!$G17,IF(F34&gt;1,F34-1,0))</f>
        <v>28</v>
      </c>
      <c r="H34" s="30">
        <f>IF('19. Sewer - Capex Input'!$I17=H$3,'19. Sewer - Capex Input'!$G17,IF(G34&gt;1,G34-1,0))</f>
        <v>27</v>
      </c>
    </row>
    <row r="35" spans="2:8">
      <c r="B35" s="152">
        <f>'19. Sewer - Capex Input'!F18</f>
        <v>0</v>
      </c>
      <c r="D35" s="30">
        <f>IF('19. Sewer - Capex Input'!$I18=D$3,'19. Sewer - Capex Input'!$G18,IF(C35&gt;1,C35-1,0))</f>
        <v>0</v>
      </c>
      <c r="E35" s="30">
        <f>IF('19. Sewer - Capex Input'!$I18=E$3,'19. Sewer - Capex Input'!$G18,IF(D35&gt;1,D35-1,0))</f>
        <v>0</v>
      </c>
      <c r="F35" s="30">
        <f>IF('19. Sewer - Capex Input'!$I18=F$3,'19. Sewer - Capex Input'!$G18,IF(E35&gt;1,E35-1,0))</f>
        <v>30</v>
      </c>
      <c r="G35" s="30">
        <f>IF('19. Sewer - Capex Input'!$I18=G$3,'19. Sewer - Capex Input'!$G18,IF(F35&gt;1,F35-1,0))</f>
        <v>29</v>
      </c>
      <c r="H35" s="30">
        <f>IF('19. Sewer - Capex Input'!$I18=H$3,'19. Sewer - Capex Input'!$G18,IF(G35&gt;1,G35-1,0))</f>
        <v>28</v>
      </c>
    </row>
    <row r="36" spans="2:8">
      <c r="B36" s="152">
        <f>'19. Sewer - Capex Input'!F19</f>
        <v>0</v>
      </c>
      <c r="D36" s="30">
        <f>IF('19. Sewer - Capex Input'!$I19=D$3,'19. Sewer - Capex Input'!$G19,IF(C36&gt;1,C36-1,0))</f>
        <v>0</v>
      </c>
      <c r="E36" s="30">
        <f>IF('19. Sewer - Capex Input'!$I19=E$3,'19. Sewer - Capex Input'!$G19,IF(D36&gt;1,D36-1,0))</f>
        <v>0</v>
      </c>
      <c r="F36" s="30">
        <f>IF('19. Sewer - Capex Input'!$I19=F$3,'19. Sewer - Capex Input'!$G19,IF(E36&gt;1,E36-1,0))</f>
        <v>0</v>
      </c>
      <c r="G36" s="30">
        <f>IF('19. Sewer - Capex Input'!$I19=G$3,'19. Sewer - Capex Input'!$G19,IF(F36&gt;1,F36-1,0))</f>
        <v>30</v>
      </c>
      <c r="H36" s="30">
        <f>IF('19. Sewer - Capex Input'!$I19=H$3,'19. Sewer - Capex Input'!$G19,IF(G36&gt;1,G36-1,0))</f>
        <v>29</v>
      </c>
    </row>
    <row r="37" spans="2:8">
      <c r="B37" s="152">
        <f>'19. Sewer - Capex Input'!F20</f>
        <v>0</v>
      </c>
      <c r="D37" s="30">
        <f>IF('19. Sewer - Capex Input'!$I20=D$3,'19. Sewer - Capex Input'!$G20,IF(C37&gt;1,C37-1,0))</f>
        <v>0</v>
      </c>
      <c r="E37" s="30">
        <f>IF('19. Sewer - Capex Input'!$I20=E$3,'19. Sewer - Capex Input'!$G20,IF(D37&gt;1,D37-1,0))</f>
        <v>0</v>
      </c>
      <c r="F37" s="30">
        <f>IF('19. Sewer - Capex Input'!$I20=F$3,'19. Sewer - Capex Input'!$G20,IF(E37&gt;1,E37-1,0))</f>
        <v>0</v>
      </c>
      <c r="G37" s="30">
        <f>IF('19. Sewer - Capex Input'!$I20=G$3,'19. Sewer - Capex Input'!$G20,IF(F37&gt;1,F37-1,0))</f>
        <v>0</v>
      </c>
      <c r="H37" s="30">
        <f>IF('19. Sewer - Capex Input'!$I20=H$3,'19. Sewer - Capex Input'!$G20,IF(G37&gt;1,G37-1,0))</f>
        <v>30</v>
      </c>
    </row>
    <row r="38" spans="2:8">
      <c r="B38" s="152">
        <f>'19. Sewer - Capex Input'!F21</f>
        <v>0</v>
      </c>
      <c r="D38" s="30">
        <f>IF('19. Sewer - Capex Input'!$I21=D$3,'19. Sewer - Capex Input'!$G21,IF(C38&gt;1,C38-1,0))</f>
        <v>0</v>
      </c>
      <c r="E38" s="30">
        <f>IF('19. Sewer - Capex Input'!$I21=E$3,'19. Sewer - Capex Input'!$G21,IF(D38&gt;1,D38-1,0))</f>
        <v>80</v>
      </c>
      <c r="F38" s="30">
        <f>IF('19. Sewer - Capex Input'!$I21=F$3,'19. Sewer - Capex Input'!$G21,IF(E38&gt;1,E38-1,0))</f>
        <v>79</v>
      </c>
      <c r="G38" s="30">
        <f>IF('19. Sewer - Capex Input'!$I21=G$3,'19. Sewer - Capex Input'!$G21,IF(F38&gt;1,F38-1,0))</f>
        <v>78</v>
      </c>
      <c r="H38" s="30">
        <f>IF('19. Sewer - Capex Input'!$I21=H$3,'19. Sewer - Capex Input'!$G21,IF(G38&gt;1,G38-1,0))</f>
        <v>77</v>
      </c>
    </row>
    <row r="39" spans="2:8">
      <c r="B39" s="152">
        <f>'19. Sewer - Capex Input'!F22</f>
        <v>0</v>
      </c>
      <c r="D39" s="30">
        <f>IF('19. Sewer - Capex Input'!$I22=D$3,'19. Sewer - Capex Input'!$G22,IF(C39&gt;1,C39-1,0))</f>
        <v>0</v>
      </c>
      <c r="E39" s="30">
        <f>IF('19. Sewer - Capex Input'!$I22=E$3,'19. Sewer - Capex Input'!$G22,IF(D39&gt;1,D39-1,0))</f>
        <v>0</v>
      </c>
      <c r="F39" s="30">
        <f>IF('19. Sewer - Capex Input'!$I22=F$3,'19. Sewer - Capex Input'!$G22,IF(E39&gt;1,E39-1,0))</f>
        <v>80</v>
      </c>
      <c r="G39" s="30">
        <f>IF('19. Sewer - Capex Input'!$I22=G$3,'19. Sewer - Capex Input'!$G22,IF(F39&gt;1,F39-1,0))</f>
        <v>79</v>
      </c>
      <c r="H39" s="30">
        <f>IF('19. Sewer - Capex Input'!$I22=H$3,'19. Sewer - Capex Input'!$G22,IF(G39&gt;1,G39-1,0))</f>
        <v>78</v>
      </c>
    </row>
    <row r="40" spans="2:8">
      <c r="B40" s="152">
        <f>'19. Sewer - Capex Input'!F23</f>
        <v>0</v>
      </c>
      <c r="D40" s="30">
        <f>IF('19. Sewer - Capex Input'!$I23=D$3,'19. Sewer - Capex Input'!$G23,IF(C40&gt;1,C40-1,0))</f>
        <v>0</v>
      </c>
      <c r="E40" s="30">
        <f>IF('19. Sewer - Capex Input'!$I23=E$3,'19. Sewer - Capex Input'!$G23,IF(D40&gt;1,D40-1,0))</f>
        <v>0</v>
      </c>
      <c r="F40" s="30">
        <f>IF('19. Sewer - Capex Input'!$I23=F$3,'19. Sewer - Capex Input'!$G23,IF(E40&gt;1,E40-1,0))</f>
        <v>0</v>
      </c>
      <c r="G40" s="30">
        <f>IF('19. Sewer - Capex Input'!$I23=G$3,'19. Sewer - Capex Input'!$G23,IF(F40&gt;1,F40-1,0))</f>
        <v>80</v>
      </c>
      <c r="H40" s="30">
        <f>IF('19. Sewer - Capex Input'!$I23=H$3,'19. Sewer - Capex Input'!$G23,IF(G40&gt;1,G40-1,0))</f>
        <v>79</v>
      </c>
    </row>
    <row r="41" spans="2:8">
      <c r="B41" s="152">
        <f>'19. Sewer - Capex Input'!F24</f>
        <v>0</v>
      </c>
      <c r="D41" s="30">
        <f>IF('19. Sewer - Capex Input'!$I24=D$3,'19. Sewer - Capex Input'!$G24,IF(C41&gt;1,C41-1,0))</f>
        <v>0</v>
      </c>
      <c r="E41" s="30">
        <f>IF('19. Sewer - Capex Input'!$I24=E$3,'19. Sewer - Capex Input'!$G24,IF(D41&gt;1,D41-1,0))</f>
        <v>0</v>
      </c>
      <c r="F41" s="30">
        <f>IF('19. Sewer - Capex Input'!$I24=F$3,'19. Sewer - Capex Input'!$G24,IF(E41&gt;1,E41-1,0))</f>
        <v>0</v>
      </c>
      <c r="G41" s="30">
        <f>IF('19. Sewer - Capex Input'!$I24=G$3,'19. Sewer - Capex Input'!$G24,IF(F41&gt;1,F41-1,0))</f>
        <v>0</v>
      </c>
      <c r="H41" s="30">
        <f>IF('19. Sewer - Capex Input'!$I24=H$3,'19. Sewer - Capex Input'!$G24,IF(G41&gt;1,G41-1,0))</f>
        <v>80</v>
      </c>
    </row>
    <row r="42" spans="2:8">
      <c r="B42" s="152">
        <f>'19. Sewer - Capex Input'!F25</f>
        <v>0</v>
      </c>
      <c r="D42" s="30">
        <f>IF('19. Sewer - Capex Input'!$I25=D$3,'19. Sewer - Capex Input'!$G25,IF(C42&gt;1,C42-1,0))</f>
        <v>0</v>
      </c>
      <c r="E42" s="30">
        <f>IF('19. Sewer - Capex Input'!$I25=E$3,'19. Sewer - Capex Input'!$G25,IF(D42&gt;1,D42-1,0))</f>
        <v>30</v>
      </c>
      <c r="F42" s="30">
        <f>IF('19. Sewer - Capex Input'!$I25=F$3,'19. Sewer - Capex Input'!$G25,IF(E42&gt;1,E42-1,0))</f>
        <v>29</v>
      </c>
      <c r="G42" s="30">
        <f>IF('19. Sewer - Capex Input'!$I25=G$3,'19. Sewer - Capex Input'!$G25,IF(F42&gt;1,F42-1,0))</f>
        <v>28</v>
      </c>
      <c r="H42" s="30">
        <f>IF('19. Sewer - Capex Input'!$I25=H$3,'19. Sewer - Capex Input'!$G25,IF(G42&gt;1,G42-1,0))</f>
        <v>27</v>
      </c>
    </row>
    <row r="43" spans="2:8">
      <c r="B43" s="152">
        <f>'19. Sewer - Capex Input'!F26</f>
        <v>0</v>
      </c>
      <c r="D43" s="30">
        <f>IF('19. Sewer - Capex Input'!$I26=D$3,'19. Sewer - Capex Input'!$G26,IF(C43&gt;1,C43-1,0))</f>
        <v>0</v>
      </c>
      <c r="E43" s="30">
        <f>IF('19. Sewer - Capex Input'!$I26=E$3,'19. Sewer - Capex Input'!$G26,IF(D43&gt;1,D43-1,0))</f>
        <v>0</v>
      </c>
      <c r="F43" s="30">
        <f>IF('19. Sewer - Capex Input'!$I26=F$3,'19. Sewer - Capex Input'!$G26,IF(E43&gt;1,E43-1,0))</f>
        <v>30</v>
      </c>
      <c r="G43" s="30">
        <f>IF('19. Sewer - Capex Input'!$I26=G$3,'19. Sewer - Capex Input'!$G26,IF(F43&gt;1,F43-1,0))</f>
        <v>29</v>
      </c>
      <c r="H43" s="30">
        <f>IF('19. Sewer - Capex Input'!$I26=H$3,'19. Sewer - Capex Input'!$G26,IF(G43&gt;1,G43-1,0))</f>
        <v>28</v>
      </c>
    </row>
    <row r="44" spans="2:8">
      <c r="B44" s="152">
        <f>'19. Sewer - Capex Input'!F27</f>
        <v>0</v>
      </c>
      <c r="D44" s="30">
        <f>IF('19. Sewer - Capex Input'!$I27=D$3,'19. Sewer - Capex Input'!$G27,IF(C44&gt;1,C44-1,0))</f>
        <v>0</v>
      </c>
      <c r="E44" s="30">
        <f>IF('19. Sewer - Capex Input'!$I27=E$3,'19. Sewer - Capex Input'!$G27,IF(D44&gt;1,D44-1,0))</f>
        <v>0</v>
      </c>
      <c r="F44" s="30">
        <f>IF('19. Sewer - Capex Input'!$I27=F$3,'19. Sewer - Capex Input'!$G27,IF(E44&gt;1,E44-1,0))</f>
        <v>30</v>
      </c>
      <c r="G44" s="30">
        <f>IF('19. Sewer - Capex Input'!$I27=G$3,'19. Sewer - Capex Input'!$G27,IF(F44&gt;1,F44-1,0))</f>
        <v>29</v>
      </c>
      <c r="H44" s="30">
        <f>IF('19. Sewer - Capex Input'!$I27=H$3,'19. Sewer - Capex Input'!$G27,IF(G44&gt;1,G44-1,0))</f>
        <v>28</v>
      </c>
    </row>
    <row r="45" spans="2:8">
      <c r="B45" s="152">
        <f>'19. Sewer - Capex Input'!F28</f>
        <v>0</v>
      </c>
      <c r="D45" s="30">
        <f>IF('19. Sewer - Capex Input'!$I28=D$3,'19. Sewer - Capex Input'!$G28,IF(C45&gt;1,C45-1,0))</f>
        <v>0</v>
      </c>
      <c r="E45" s="30">
        <f>IF('19. Sewer - Capex Input'!$I28=E$3,'19. Sewer - Capex Input'!$G28,IF(D45&gt;1,D45-1,0))</f>
        <v>0</v>
      </c>
      <c r="F45" s="30">
        <f>IF('19. Sewer - Capex Input'!$I28=F$3,'19. Sewer - Capex Input'!$G28,IF(E45&gt;1,E45-1,0))</f>
        <v>0</v>
      </c>
      <c r="G45" s="30">
        <f>IF('19. Sewer - Capex Input'!$I28=G$3,'19. Sewer - Capex Input'!$G28,IF(F45&gt;1,F45-1,0))</f>
        <v>30</v>
      </c>
      <c r="H45" s="30">
        <f>IF('19. Sewer - Capex Input'!$I28=H$3,'19. Sewer - Capex Input'!$G28,IF(G45&gt;1,G45-1,0))</f>
        <v>29</v>
      </c>
    </row>
    <row r="46" spans="2:8">
      <c r="B46" s="152">
        <f>'19. Sewer - Capex Input'!F29</f>
        <v>0</v>
      </c>
      <c r="D46" s="30">
        <f>IF('19. Sewer - Capex Input'!$I29=D$3,'19. Sewer - Capex Input'!$G29,IF(C46&gt;1,C46-1,0))</f>
        <v>0</v>
      </c>
      <c r="E46" s="30">
        <f>IF('19. Sewer - Capex Input'!$I29=E$3,'19. Sewer - Capex Input'!$G29,IF(D46&gt;1,D46-1,0))</f>
        <v>0</v>
      </c>
      <c r="F46" s="30">
        <f>IF('19. Sewer - Capex Input'!$I29=F$3,'19. Sewer - Capex Input'!$G29,IF(E46&gt;1,E46-1,0))</f>
        <v>0</v>
      </c>
      <c r="G46" s="30">
        <f>IF('19. Sewer - Capex Input'!$I29=G$3,'19. Sewer - Capex Input'!$G29,IF(F46&gt;1,F46-1,0))</f>
        <v>0</v>
      </c>
      <c r="H46" s="30">
        <f>IF('19. Sewer - Capex Input'!$I29=H$3,'19. Sewer - Capex Input'!$G29,IF(G46&gt;1,G46-1,0))</f>
        <v>30</v>
      </c>
    </row>
    <row r="47" spans="2:8">
      <c r="B47" s="152">
        <f>'19. Sewer - Capex Input'!F30</f>
        <v>0</v>
      </c>
      <c r="D47" s="30">
        <f>IF('19. Sewer - Capex Input'!$I30=D$3,'19. Sewer - Capex Input'!$G30,IF(C47&gt;1,C47-1,0))</f>
        <v>0</v>
      </c>
      <c r="E47" s="30">
        <f>IF('19. Sewer - Capex Input'!$I30=E$3,'19. Sewer - Capex Input'!$G30,IF(D47&gt;1,D47-1,0))</f>
        <v>0</v>
      </c>
      <c r="F47" s="30">
        <f>IF('19. Sewer - Capex Input'!$I30=F$3,'19. Sewer - Capex Input'!$G30,IF(E47&gt;1,E47-1,0))</f>
        <v>20</v>
      </c>
      <c r="G47" s="30">
        <f>IF('19. Sewer - Capex Input'!$I30=G$3,'19. Sewer - Capex Input'!$G30,IF(F47&gt;1,F47-1,0))</f>
        <v>19</v>
      </c>
      <c r="H47" s="30">
        <f>IF('19. Sewer - Capex Input'!$I30=H$3,'19. Sewer - Capex Input'!$G30,IF(G47&gt;1,G47-1,0))</f>
        <v>18</v>
      </c>
    </row>
    <row r="48" spans="2:8">
      <c r="B48" s="152">
        <f>'19. Sewer - Capex Input'!F31</f>
        <v>0</v>
      </c>
      <c r="D48" s="30">
        <f>IF('19. Sewer - Capex Input'!$I31=D$3,'19. Sewer - Capex Input'!$G31,IF(C48&gt;1,C48-1,0))</f>
        <v>0</v>
      </c>
      <c r="E48" s="30">
        <f>IF('19. Sewer - Capex Input'!$I31=E$3,'19. Sewer - Capex Input'!$G31,IF(D48&gt;1,D48-1,0))</f>
        <v>0</v>
      </c>
      <c r="F48" s="30">
        <f>IF('19. Sewer - Capex Input'!$I31=F$3,'19. Sewer - Capex Input'!$G31,IF(E48&gt;1,E48-1,0))</f>
        <v>0</v>
      </c>
      <c r="G48" s="30">
        <f>IF('19. Sewer - Capex Input'!$I31=G$3,'19. Sewer - Capex Input'!$G31,IF(F48&gt;1,F48-1,0))</f>
        <v>20</v>
      </c>
      <c r="H48" s="30">
        <f>IF('19. Sewer - Capex Input'!$I31=H$3,'19. Sewer - Capex Input'!$G31,IF(G48&gt;1,G48-1,0))</f>
        <v>19</v>
      </c>
    </row>
    <row r="49" spans="2:8">
      <c r="B49" s="152">
        <f>'19. Sewer - Capex Input'!F32</f>
        <v>0</v>
      </c>
      <c r="D49" s="30">
        <f>IF('19. Sewer - Capex Input'!$I32=D$3,'19. Sewer - Capex Input'!$G32,IF(C49&gt;1,C49-1,0))</f>
        <v>0</v>
      </c>
      <c r="E49" s="30">
        <f>IF('19. Sewer - Capex Input'!$I32=E$3,'19. Sewer - Capex Input'!$G32,IF(D49&gt;1,D49-1,0))</f>
        <v>0</v>
      </c>
      <c r="F49" s="30">
        <f>IF('19. Sewer - Capex Input'!$I32=F$3,'19. Sewer - Capex Input'!$G32,IF(E49&gt;1,E49-1,0))</f>
        <v>0</v>
      </c>
      <c r="G49" s="30">
        <f>IF('19. Sewer - Capex Input'!$I32=G$3,'19. Sewer - Capex Input'!$G32,IF(F49&gt;1,F49-1,0))</f>
        <v>0</v>
      </c>
      <c r="H49" s="30">
        <f>IF('19. Sewer - Capex Input'!$I32=H$3,'19. Sewer - Capex Input'!$G32,IF(G49&gt;1,G49-1,0))</f>
        <v>20</v>
      </c>
    </row>
    <row r="50" spans="2:8">
      <c r="B50" s="152">
        <f>'19. Sewer - Capex Input'!F33</f>
        <v>0</v>
      </c>
      <c r="D50" s="30">
        <f>IF('19. Sewer - Capex Input'!$I33=D$3,'19. Sewer - Capex Input'!$G33,IF(C50&gt;1,C50-1,0))</f>
        <v>0</v>
      </c>
      <c r="E50" s="30">
        <f>IF('19. Sewer - Capex Input'!$I33=E$3,'19. Sewer - Capex Input'!$G33,IF(D50&gt;1,D50-1,0))</f>
        <v>0</v>
      </c>
      <c r="F50" s="30">
        <f>IF('19. Sewer - Capex Input'!$I33=F$3,'19. Sewer - Capex Input'!$G33,IF(E50&gt;1,E50-1,0))</f>
        <v>30</v>
      </c>
      <c r="G50" s="30">
        <f>IF('19. Sewer - Capex Input'!$I33=G$3,'19. Sewer - Capex Input'!$G33,IF(F50&gt;1,F50-1,0))</f>
        <v>29</v>
      </c>
      <c r="H50" s="30">
        <f>IF('19. Sewer - Capex Input'!$I33=H$3,'19. Sewer - Capex Input'!$G33,IF(G50&gt;1,G50-1,0))</f>
        <v>28</v>
      </c>
    </row>
    <row r="51" spans="2:8">
      <c r="B51" s="152">
        <f>'19. Sewer - Capex Input'!F34</f>
        <v>0</v>
      </c>
      <c r="D51" s="30">
        <f>IF('19. Sewer - Capex Input'!$I34=D$3,'19. Sewer - Capex Input'!$G34,IF(C51&gt;1,C51-1,0))</f>
        <v>0</v>
      </c>
      <c r="E51" s="30">
        <f>IF('19. Sewer - Capex Input'!$I34=E$3,'19. Sewer - Capex Input'!$G34,IF(D51&gt;1,D51-1,0))</f>
        <v>0</v>
      </c>
      <c r="F51" s="30">
        <f>IF('19. Sewer - Capex Input'!$I34=F$3,'19. Sewer - Capex Input'!$G34,IF(E51&gt;1,E51-1,0))</f>
        <v>0</v>
      </c>
      <c r="G51" s="30">
        <f>IF('19. Sewer - Capex Input'!$I34=G$3,'19. Sewer - Capex Input'!$G34,IF(F51&gt;1,F51-1,0))</f>
        <v>30</v>
      </c>
      <c r="H51" s="30">
        <f>IF('19. Sewer - Capex Input'!$I34=H$3,'19. Sewer - Capex Input'!$G34,IF(G51&gt;1,G51-1,0))</f>
        <v>29</v>
      </c>
    </row>
    <row r="52" spans="2:8">
      <c r="B52" s="152">
        <f>'19. Sewer - Capex Input'!F35</f>
        <v>0</v>
      </c>
      <c r="D52" s="30">
        <f>IF('19. Sewer - Capex Input'!$I35=D$3,'19. Sewer - Capex Input'!$G35,IF(C52&gt;1,C52-1,0))</f>
        <v>0</v>
      </c>
      <c r="E52" s="30">
        <f>IF('19. Sewer - Capex Input'!$I35=E$3,'19. Sewer - Capex Input'!$G35,IF(D52&gt;1,D52-1,0))</f>
        <v>0</v>
      </c>
      <c r="F52" s="30">
        <f>IF('19. Sewer - Capex Input'!$I35=F$3,'19. Sewer - Capex Input'!$G35,IF(E52&gt;1,E52-1,0))</f>
        <v>0</v>
      </c>
      <c r="G52" s="30">
        <f>IF('19. Sewer - Capex Input'!$I35=G$3,'19. Sewer - Capex Input'!$G35,IF(F52&gt;1,F52-1,0))</f>
        <v>0</v>
      </c>
      <c r="H52" s="30">
        <f>IF('19. Sewer - Capex Input'!$I35=H$3,'19. Sewer - Capex Input'!$G35,IF(G52&gt;1,G52-1,0))</f>
        <v>30</v>
      </c>
    </row>
    <row r="53" spans="2:8">
      <c r="B53" s="152">
        <f>'19. Sewer - Capex Input'!F36</f>
        <v>0</v>
      </c>
      <c r="D53" s="30">
        <f>IF('19. Sewer - Capex Input'!$I36=D$3,'19. Sewer - Capex Input'!$G36,IF(C53&gt;1,C53-1,0))</f>
        <v>0</v>
      </c>
      <c r="E53" s="30">
        <f>IF('19. Sewer - Capex Input'!$I36=E$3,'19. Sewer - Capex Input'!$G36,IF(D53&gt;1,D53-1,0))</f>
        <v>0</v>
      </c>
      <c r="F53" s="30">
        <f>IF('19. Sewer - Capex Input'!$I36=F$3,'19. Sewer - Capex Input'!$G36,IF(E53&gt;1,E53-1,0))</f>
        <v>80</v>
      </c>
      <c r="G53" s="30">
        <f>IF('19. Sewer - Capex Input'!$I36=G$3,'19. Sewer - Capex Input'!$G36,IF(F53&gt;1,F53-1,0))</f>
        <v>79</v>
      </c>
      <c r="H53" s="30">
        <f>IF('19. Sewer - Capex Input'!$I36=H$3,'19. Sewer - Capex Input'!$G36,IF(G53&gt;1,G53-1,0))</f>
        <v>78</v>
      </c>
    </row>
    <row r="54" spans="2:8">
      <c r="B54" s="152">
        <f>'19. Sewer - Capex Input'!F37</f>
        <v>0</v>
      </c>
      <c r="D54" s="30">
        <f>IF('19. Sewer - Capex Input'!$I37=D$3,'19. Sewer - Capex Input'!$G37,IF(C54&gt;1,C54-1,0))</f>
        <v>0</v>
      </c>
      <c r="E54" s="30">
        <f>IF('19. Sewer - Capex Input'!$I37=E$3,'19. Sewer - Capex Input'!$G37,IF(D54&gt;1,D54-1,0))</f>
        <v>0</v>
      </c>
      <c r="F54" s="30">
        <f>IF('19. Sewer - Capex Input'!$I37=F$3,'19. Sewer - Capex Input'!$G37,IF(E54&gt;1,E54-1,0))</f>
        <v>0</v>
      </c>
      <c r="G54" s="30">
        <f>IF('19. Sewer - Capex Input'!$I37=G$3,'19. Sewer - Capex Input'!$G37,IF(F54&gt;1,F54-1,0))</f>
        <v>80</v>
      </c>
      <c r="H54" s="30">
        <f>IF('19. Sewer - Capex Input'!$I37=H$3,'19. Sewer - Capex Input'!$G37,IF(G54&gt;1,G54-1,0))</f>
        <v>79</v>
      </c>
    </row>
    <row r="55" spans="2:8">
      <c r="B55" s="152">
        <f>'19. Sewer - Capex Input'!F38</f>
        <v>0</v>
      </c>
      <c r="D55" s="30">
        <f>IF('19. Sewer - Capex Input'!$I38=D$3,'19. Sewer - Capex Input'!$G38,IF(C55&gt;1,C55-1,0))</f>
        <v>0</v>
      </c>
      <c r="E55" s="30">
        <f>IF('19. Sewer - Capex Input'!$I38=E$3,'19. Sewer - Capex Input'!$G38,IF(D55&gt;1,D55-1,0))</f>
        <v>0</v>
      </c>
      <c r="F55" s="30">
        <f>IF('19. Sewer - Capex Input'!$I38=F$3,'19. Sewer - Capex Input'!$G38,IF(E55&gt;1,E55-1,0))</f>
        <v>0</v>
      </c>
      <c r="G55" s="30">
        <f>IF('19. Sewer - Capex Input'!$I38=G$3,'19. Sewer - Capex Input'!$G38,IF(F55&gt;1,F55-1,0))</f>
        <v>0</v>
      </c>
      <c r="H55" s="30">
        <f>IF('19. Sewer - Capex Input'!$I38=H$3,'19. Sewer - Capex Input'!$G38,IF(G55&gt;1,G55-1,0))</f>
        <v>80</v>
      </c>
    </row>
    <row r="56" spans="2:8">
      <c r="B56" s="152">
        <f>'19. Sewer - Capex Input'!F39</f>
        <v>0</v>
      </c>
      <c r="D56" s="30">
        <f>IF('19. Sewer - Capex Input'!$I39=D$3,'19. Sewer - Capex Input'!$G39,IF(C56&gt;1,C56-1,0))</f>
        <v>0</v>
      </c>
      <c r="E56" s="30">
        <f>IF('19. Sewer - Capex Input'!$I39=E$3,'19. Sewer - Capex Input'!$G39,IF(D56&gt;1,D56-1,0))</f>
        <v>0</v>
      </c>
      <c r="F56" s="30">
        <f>IF('19. Sewer - Capex Input'!$I39=F$3,'19. Sewer - Capex Input'!$G39,IF(E56&gt;1,E56-1,0))</f>
        <v>60</v>
      </c>
      <c r="G56" s="30">
        <f>IF('19. Sewer - Capex Input'!$I39=G$3,'19. Sewer - Capex Input'!$G39,IF(F56&gt;1,F56-1,0))</f>
        <v>59</v>
      </c>
      <c r="H56" s="30">
        <f>IF('19. Sewer - Capex Input'!$I39=H$3,'19. Sewer - Capex Input'!$G39,IF(G56&gt;1,G56-1,0))</f>
        <v>58</v>
      </c>
    </row>
    <row r="57" spans="2:8">
      <c r="B57" s="152">
        <f>'19. Sewer - Capex Input'!F40</f>
        <v>0</v>
      </c>
      <c r="D57" s="30">
        <f>IF('19. Sewer - Capex Input'!$I40=D$3,'19. Sewer - Capex Input'!$G40,IF(C57&gt;1,C57-1,0))</f>
        <v>0</v>
      </c>
      <c r="E57" s="30">
        <f>IF('19. Sewer - Capex Input'!$I40=E$3,'19. Sewer - Capex Input'!$G40,IF(D57&gt;1,D57-1,0))</f>
        <v>0</v>
      </c>
      <c r="F57" s="30">
        <f>IF('19. Sewer - Capex Input'!$I40=F$3,'19. Sewer - Capex Input'!$G40,IF(E57&gt;1,E57-1,0))</f>
        <v>0</v>
      </c>
      <c r="G57" s="30">
        <f>IF('19. Sewer - Capex Input'!$I40=G$3,'19. Sewer - Capex Input'!$G40,IF(F57&gt;1,F57-1,0))</f>
        <v>60</v>
      </c>
      <c r="H57" s="30">
        <f>IF('19. Sewer - Capex Input'!$I40=H$3,'19. Sewer - Capex Input'!$G40,IF(G57&gt;1,G57-1,0))</f>
        <v>59</v>
      </c>
    </row>
    <row r="58" spans="2:8">
      <c r="B58" s="152">
        <f>'19. Sewer - Capex Input'!F41</f>
        <v>0</v>
      </c>
      <c r="D58" s="30">
        <f>IF('19. Sewer - Capex Input'!$I41=D$3,'19. Sewer - Capex Input'!$G41,IF(C58&gt;1,C58-1,0))</f>
        <v>0</v>
      </c>
      <c r="E58" s="30">
        <f>IF('19. Sewer - Capex Input'!$I41=E$3,'19. Sewer - Capex Input'!$G41,IF(D58&gt;1,D58-1,0))</f>
        <v>0</v>
      </c>
      <c r="F58" s="30">
        <f>IF('19. Sewer - Capex Input'!$I41=F$3,'19. Sewer - Capex Input'!$G41,IF(E58&gt;1,E58-1,0))</f>
        <v>0</v>
      </c>
      <c r="G58" s="30">
        <f>IF('19. Sewer - Capex Input'!$I41=G$3,'19. Sewer - Capex Input'!$G41,IF(F58&gt;1,F58-1,0))</f>
        <v>0</v>
      </c>
      <c r="H58" s="30">
        <f>IF('19. Sewer - Capex Input'!$I41=H$3,'19. Sewer - Capex Input'!$G41,IF(G58&gt;1,G58-1,0))</f>
        <v>60</v>
      </c>
    </row>
    <row r="59" spans="2:8">
      <c r="B59" s="152">
        <f>'19. Sewer - Capex Input'!F42</f>
        <v>0</v>
      </c>
      <c r="D59" s="30">
        <f>IF('19. Sewer - Capex Input'!$I42=D$3,'19. Sewer - Capex Input'!$G42,IF(C59&gt;1,C59-1,0))</f>
        <v>0</v>
      </c>
      <c r="E59" s="30">
        <f>IF('19. Sewer - Capex Input'!$I42=E$3,'19. Sewer - Capex Input'!$G42,IF(D59&gt;1,D59-1,0))</f>
        <v>10</v>
      </c>
      <c r="F59" s="30">
        <f>IF('19. Sewer - Capex Input'!$I42=F$3,'19. Sewer - Capex Input'!$G42,IF(E59&gt;1,E59-1,0))</f>
        <v>9</v>
      </c>
      <c r="G59" s="30">
        <f>IF('19. Sewer - Capex Input'!$I42=G$3,'19. Sewer - Capex Input'!$G42,IF(F59&gt;1,F59-1,0))</f>
        <v>8</v>
      </c>
      <c r="H59" s="30">
        <f>IF('19. Sewer - Capex Input'!$I42=H$3,'19. Sewer - Capex Input'!$G42,IF(G59&gt;1,G59-1,0))</f>
        <v>7</v>
      </c>
    </row>
    <row r="60" spans="2:8">
      <c r="B60" s="152">
        <f>'19. Sewer - Capex Input'!F43</f>
        <v>0</v>
      </c>
      <c r="D60" s="30">
        <f>IF('19. Sewer - Capex Input'!$I43=D$3,'19. Sewer - Capex Input'!$G43,IF(C60&gt;1,C60-1,0))</f>
        <v>0</v>
      </c>
      <c r="E60" s="30">
        <f>IF('19. Sewer - Capex Input'!$I43=E$3,'19. Sewer - Capex Input'!$G43,IF(D60&gt;1,D60-1,0))</f>
        <v>0</v>
      </c>
      <c r="F60" s="30">
        <f>IF('19. Sewer - Capex Input'!$I43=F$3,'19. Sewer - Capex Input'!$G43,IF(E60&gt;1,E60-1,0))</f>
        <v>10</v>
      </c>
      <c r="G60" s="30">
        <f>IF('19. Sewer - Capex Input'!$I43=G$3,'19. Sewer - Capex Input'!$G43,IF(F60&gt;1,F60-1,0))</f>
        <v>9</v>
      </c>
      <c r="H60" s="30">
        <f>IF('19. Sewer - Capex Input'!$I43=H$3,'19. Sewer - Capex Input'!$G43,IF(G60&gt;1,G60-1,0))</f>
        <v>8</v>
      </c>
    </row>
    <row r="61" spans="2:8">
      <c r="B61" s="152">
        <f>'19. Sewer - Capex Input'!F44</f>
        <v>0</v>
      </c>
      <c r="D61" s="30">
        <f>IF('19. Sewer - Capex Input'!$I44=D$3,'19. Sewer - Capex Input'!$G44,IF(C61&gt;1,C61-1,0))</f>
        <v>0</v>
      </c>
      <c r="E61" s="30">
        <f>IF('19. Sewer - Capex Input'!$I44=E$3,'19. Sewer - Capex Input'!$G44,IF(D61&gt;1,D61-1,0))</f>
        <v>0</v>
      </c>
      <c r="F61" s="30">
        <f>IF('19. Sewer - Capex Input'!$I44=F$3,'19. Sewer - Capex Input'!$G44,IF(E61&gt;1,E61-1,0))</f>
        <v>0</v>
      </c>
      <c r="G61" s="30">
        <f>IF('19. Sewer - Capex Input'!$I44=G$3,'19. Sewer - Capex Input'!$G44,IF(F61&gt;1,F61-1,0))</f>
        <v>10</v>
      </c>
      <c r="H61" s="30">
        <f>IF('19. Sewer - Capex Input'!$I44=H$3,'19. Sewer - Capex Input'!$G44,IF(G61&gt;1,G61-1,0))</f>
        <v>9</v>
      </c>
    </row>
    <row r="62" spans="2:8">
      <c r="B62" s="152">
        <f>'19. Sewer - Capex Input'!F45</f>
        <v>0</v>
      </c>
      <c r="D62" s="30">
        <f>IF('19. Sewer - Capex Input'!$I45=D$3,'19. Sewer - Capex Input'!$G45,IF(C62&gt;1,C62-1,0))</f>
        <v>0</v>
      </c>
      <c r="E62" s="30">
        <f>IF('19. Sewer - Capex Input'!$I45=E$3,'19. Sewer - Capex Input'!$G45,IF(D62&gt;1,D62-1,0))</f>
        <v>0</v>
      </c>
      <c r="F62" s="30">
        <f>IF('19. Sewer - Capex Input'!$I45=F$3,'19. Sewer - Capex Input'!$G45,IF(E62&gt;1,E62-1,0))</f>
        <v>0</v>
      </c>
      <c r="G62" s="30">
        <f>IF('19. Sewer - Capex Input'!$I45=G$3,'19. Sewer - Capex Input'!$G45,IF(F62&gt;1,F62-1,0))</f>
        <v>0</v>
      </c>
      <c r="H62" s="30">
        <f>IF('19. Sewer - Capex Input'!$I45=H$3,'19. Sewer - Capex Input'!$G45,IF(G62&gt;1,G62-1,0))</f>
        <v>10</v>
      </c>
    </row>
    <row r="63" spans="2:8">
      <c r="B63" s="152">
        <f>'19. Sewer - Capex Input'!F46</f>
        <v>0</v>
      </c>
      <c r="D63" s="30">
        <f>IF('19. Sewer - Capex Input'!$I46=D$3,'19. Sewer - Capex Input'!$G46,IF(C63&gt;1,C63-1,0))</f>
        <v>0</v>
      </c>
      <c r="E63" s="30">
        <f>IF('19. Sewer - Capex Input'!$I46=E$3,'19. Sewer - Capex Input'!$G46,IF(D63&gt;1,D63-1,0))</f>
        <v>0</v>
      </c>
      <c r="F63" s="30">
        <f>IF('19. Sewer - Capex Input'!$I46=F$3,'19. Sewer - Capex Input'!$G46,IF(E63&gt;1,E63-1,0))</f>
        <v>30</v>
      </c>
      <c r="G63" s="30">
        <f>IF('19. Sewer - Capex Input'!$I46=G$3,'19. Sewer - Capex Input'!$G46,IF(F63&gt;1,F63-1,0))</f>
        <v>29</v>
      </c>
      <c r="H63" s="30">
        <f>IF('19. Sewer - Capex Input'!$I46=H$3,'19. Sewer - Capex Input'!$G46,IF(G63&gt;1,G63-1,0))</f>
        <v>28</v>
      </c>
    </row>
    <row r="64" spans="2:8">
      <c r="B64" s="152">
        <f>'19. Sewer - Capex Input'!F47</f>
        <v>0</v>
      </c>
      <c r="D64" s="30">
        <f>IF('19. Sewer - Capex Input'!$I47=D$3,'19. Sewer - Capex Input'!$G47,IF(C64&gt;1,C64-1,0))</f>
        <v>0</v>
      </c>
      <c r="E64" s="30">
        <f>IF('19. Sewer - Capex Input'!$I47=E$3,'19. Sewer - Capex Input'!$G47,IF(D64&gt;1,D64-1,0))</f>
        <v>0</v>
      </c>
      <c r="F64" s="30">
        <f>IF('19. Sewer - Capex Input'!$I47=F$3,'19. Sewer - Capex Input'!$G47,IF(E64&gt;1,E64-1,0))</f>
        <v>0</v>
      </c>
      <c r="G64" s="30">
        <f>IF('19. Sewer - Capex Input'!$I47=G$3,'19. Sewer - Capex Input'!$G47,IF(F64&gt;1,F64-1,0))</f>
        <v>30</v>
      </c>
      <c r="H64" s="30">
        <f>IF('19. Sewer - Capex Input'!$I47=H$3,'19. Sewer - Capex Input'!$G47,IF(G64&gt;1,G64-1,0))</f>
        <v>29</v>
      </c>
    </row>
    <row r="65" spans="2:8">
      <c r="B65" s="152">
        <f>'19. Sewer - Capex Input'!F48</f>
        <v>0</v>
      </c>
      <c r="D65" s="30">
        <f>IF('19. Sewer - Capex Input'!$I48=D$3,'19. Sewer - Capex Input'!$G48,IF(C65&gt;1,C65-1,0))</f>
        <v>30</v>
      </c>
      <c r="E65" s="30">
        <f>IF('19. Sewer - Capex Input'!$I48=E$3,'19. Sewer - Capex Input'!$G48,IF(D65&gt;1,D65-1,0))</f>
        <v>29</v>
      </c>
      <c r="F65" s="30">
        <f>IF('19. Sewer - Capex Input'!$I48=F$3,'19. Sewer - Capex Input'!$G48,IF(E65&gt;1,E65-1,0))</f>
        <v>28</v>
      </c>
      <c r="G65" s="30">
        <f>IF('19. Sewer - Capex Input'!$I48=G$3,'19. Sewer - Capex Input'!$G48,IF(F65&gt;1,F65-1,0))</f>
        <v>27</v>
      </c>
      <c r="H65" s="30">
        <f>IF('19. Sewer - Capex Input'!$I48=H$3,'19. Sewer - Capex Input'!$G48,IF(G65&gt;1,G65-1,0))</f>
        <v>26</v>
      </c>
    </row>
    <row r="66" spans="2:8">
      <c r="B66" s="152">
        <f>'19. Sewer - Capex Input'!F49</f>
        <v>0</v>
      </c>
      <c r="D66" s="30">
        <f>IF('19. Sewer - Capex Input'!$I49=D$3,'19. Sewer - Capex Input'!$G49,IF(C66&gt;1,C66-1,0))</f>
        <v>0</v>
      </c>
      <c r="E66" s="30">
        <f>IF('19. Sewer - Capex Input'!$I49=E$3,'19. Sewer - Capex Input'!$G49,IF(D66&gt;1,D66-1,0))</f>
        <v>30</v>
      </c>
      <c r="F66" s="30">
        <f>IF('19. Sewer - Capex Input'!$I49=F$3,'19. Sewer - Capex Input'!$G49,IF(E66&gt;1,E66-1,0))</f>
        <v>29</v>
      </c>
      <c r="G66" s="30">
        <f>IF('19. Sewer - Capex Input'!$I49=G$3,'19. Sewer - Capex Input'!$G49,IF(F66&gt;1,F66-1,0))</f>
        <v>28</v>
      </c>
      <c r="H66" s="30">
        <f>IF('19. Sewer - Capex Input'!$I49=H$3,'19. Sewer - Capex Input'!$G49,IF(G66&gt;1,G66-1,0))</f>
        <v>27</v>
      </c>
    </row>
    <row r="67" spans="2:8">
      <c r="B67" s="152">
        <f>'19. Sewer - Capex Input'!F50</f>
        <v>0</v>
      </c>
      <c r="D67" s="30">
        <f>IF('19. Sewer - Capex Input'!$I50=D$3,'19. Sewer - Capex Input'!$G50,IF(C67&gt;1,C67-1,0))</f>
        <v>30</v>
      </c>
      <c r="E67" s="30">
        <f>IF('19. Sewer - Capex Input'!$I50=E$3,'19. Sewer - Capex Input'!$G50,IF(D67&gt;1,D67-1,0))</f>
        <v>29</v>
      </c>
      <c r="F67" s="30">
        <f>IF('19. Sewer - Capex Input'!$I50=F$3,'19. Sewer - Capex Input'!$G50,IF(E67&gt;1,E67-1,0))</f>
        <v>28</v>
      </c>
      <c r="G67" s="30">
        <f>IF('19. Sewer - Capex Input'!$I50=G$3,'19. Sewer - Capex Input'!$G50,IF(F67&gt;1,F67-1,0))</f>
        <v>27</v>
      </c>
      <c r="H67" s="30">
        <f>IF('19. Sewer - Capex Input'!$I50=H$3,'19. Sewer - Capex Input'!$G50,IF(G67&gt;1,G67-1,0))</f>
        <v>26</v>
      </c>
    </row>
    <row r="68" spans="2:8">
      <c r="B68" s="152">
        <f>'19. Sewer - Capex Input'!F51</f>
        <v>0</v>
      </c>
      <c r="D68" s="30">
        <f>IF('19. Sewer - Capex Input'!$I51=D$3,'19. Sewer - Capex Input'!$G51,IF(C68&gt;1,C68-1,0))</f>
        <v>0</v>
      </c>
      <c r="E68" s="30">
        <f>IF('19. Sewer - Capex Input'!$I51=E$3,'19. Sewer - Capex Input'!$G51,IF(D68&gt;1,D68-1,0))</f>
        <v>30</v>
      </c>
      <c r="F68" s="30">
        <f>IF('19. Sewer - Capex Input'!$I51=F$3,'19. Sewer - Capex Input'!$G51,IF(E68&gt;1,E68-1,0))</f>
        <v>29</v>
      </c>
      <c r="G68" s="30">
        <f>IF('19. Sewer - Capex Input'!$I51=G$3,'19. Sewer - Capex Input'!$G51,IF(F68&gt;1,F68-1,0))</f>
        <v>28</v>
      </c>
      <c r="H68" s="30">
        <f>IF('19. Sewer - Capex Input'!$I51=H$3,'19. Sewer - Capex Input'!$G51,IF(G68&gt;1,G68-1,0))</f>
        <v>27</v>
      </c>
    </row>
    <row r="69" spans="2:8">
      <c r="B69" s="152">
        <f>'19. Sewer - Capex Input'!F52</f>
        <v>0</v>
      </c>
      <c r="D69" s="30">
        <f>IF('19. Sewer - Capex Input'!$I52=D$3,'19. Sewer - Capex Input'!$G52,IF(C69&gt;1,C69-1,0))</f>
        <v>0</v>
      </c>
      <c r="E69" s="30">
        <f>IF('19. Sewer - Capex Input'!$I52=E$3,'19. Sewer - Capex Input'!$G52,IF(D69&gt;1,D69-1,0))</f>
        <v>0</v>
      </c>
      <c r="F69" s="30">
        <f>IF('19. Sewer - Capex Input'!$I52=F$3,'19. Sewer - Capex Input'!$G52,IF(E69&gt;1,E69-1,0))</f>
        <v>30</v>
      </c>
      <c r="G69" s="30">
        <f>IF('19. Sewer - Capex Input'!$I52=G$3,'19. Sewer - Capex Input'!$G52,IF(F69&gt;1,F69-1,0))</f>
        <v>29</v>
      </c>
      <c r="H69" s="30">
        <f>IF('19. Sewer - Capex Input'!$I52=H$3,'19. Sewer - Capex Input'!$G52,IF(G69&gt;1,G69-1,0))</f>
        <v>28</v>
      </c>
    </row>
    <row r="70" spans="2:8">
      <c r="B70" s="152">
        <f>'19. Sewer - Capex Input'!F53</f>
        <v>0</v>
      </c>
      <c r="D70" s="30">
        <f>IF('19. Sewer - Capex Input'!$I53=D$3,'19. Sewer - Capex Input'!$G53,IF(C70&gt;1,C70-1,0))</f>
        <v>80</v>
      </c>
      <c r="E70" s="30">
        <f>IF('19. Sewer - Capex Input'!$I53=E$3,'19. Sewer - Capex Input'!$G53,IF(D70&gt;1,D70-1,0))</f>
        <v>79</v>
      </c>
      <c r="F70" s="30">
        <f>IF('19. Sewer - Capex Input'!$I53=F$3,'19. Sewer - Capex Input'!$G53,IF(E70&gt;1,E70-1,0))</f>
        <v>78</v>
      </c>
      <c r="G70" s="30">
        <f>IF('19. Sewer - Capex Input'!$I53=G$3,'19. Sewer - Capex Input'!$G53,IF(F70&gt;1,F70-1,0))</f>
        <v>77</v>
      </c>
      <c r="H70" s="30">
        <f>IF('19. Sewer - Capex Input'!$I53=H$3,'19. Sewer - Capex Input'!$G53,IF(G70&gt;1,G70-1,0))</f>
        <v>76</v>
      </c>
    </row>
    <row r="71" spans="2:8">
      <c r="B71" s="152">
        <f>'19. Sewer - Capex Input'!F54</f>
        <v>0</v>
      </c>
      <c r="D71" s="30">
        <f>IF('19. Sewer - Capex Input'!$I54=D$3,'19. Sewer - Capex Input'!$G54,IF(C71&gt;1,C71-1,0))</f>
        <v>0</v>
      </c>
      <c r="E71" s="30">
        <f>IF('19. Sewer - Capex Input'!$I54=E$3,'19. Sewer - Capex Input'!$G54,IF(D71&gt;1,D71-1,0))</f>
        <v>80</v>
      </c>
      <c r="F71" s="30">
        <f>IF('19. Sewer - Capex Input'!$I54=F$3,'19. Sewer - Capex Input'!$G54,IF(E71&gt;1,E71-1,0))</f>
        <v>79</v>
      </c>
      <c r="G71" s="30">
        <f>IF('19. Sewer - Capex Input'!$I54=G$3,'19. Sewer - Capex Input'!$G54,IF(F71&gt;1,F71-1,0))</f>
        <v>78</v>
      </c>
      <c r="H71" s="30">
        <f>IF('19. Sewer - Capex Input'!$I54=H$3,'19. Sewer - Capex Input'!$G54,IF(G71&gt;1,G71-1,0))</f>
        <v>77</v>
      </c>
    </row>
    <row r="72" spans="2:8">
      <c r="B72" s="152">
        <f>'19. Sewer - Capex Input'!F55</f>
        <v>0</v>
      </c>
      <c r="D72" s="30">
        <f>IF('19. Sewer - Capex Input'!$I55=D$3,'19. Sewer - Capex Input'!$G55,IF(C72&gt;1,C72-1,0))</f>
        <v>0</v>
      </c>
      <c r="E72" s="30">
        <f>IF('19. Sewer - Capex Input'!$I55=E$3,'19. Sewer - Capex Input'!$G55,IF(D72&gt;1,D72-1,0))</f>
        <v>0</v>
      </c>
      <c r="F72" s="30">
        <f>IF('19. Sewer - Capex Input'!$I55=F$3,'19. Sewer - Capex Input'!$G55,IF(E72&gt;1,E72-1,0))</f>
        <v>20</v>
      </c>
      <c r="G72" s="30">
        <f>IF('19. Sewer - Capex Input'!$I55=G$3,'19. Sewer - Capex Input'!$G55,IF(F72&gt;1,F72-1,0))</f>
        <v>19</v>
      </c>
      <c r="H72" s="30">
        <f>IF('19. Sewer - Capex Input'!$I55=H$3,'19. Sewer - Capex Input'!$G55,IF(G72&gt;1,G72-1,0))</f>
        <v>18</v>
      </c>
    </row>
    <row r="73" spans="2:8">
      <c r="B73" s="152">
        <f>'19. Sewer - Capex Input'!F56</f>
        <v>0</v>
      </c>
      <c r="D73" s="30">
        <f>IF('19. Sewer - Capex Input'!$I56=D$3,'19. Sewer - Capex Input'!$G56,IF(C73&gt;1,C73-1,0))</f>
        <v>0</v>
      </c>
      <c r="E73" s="30">
        <f>IF('19. Sewer - Capex Input'!$I56=E$3,'19. Sewer - Capex Input'!$G56,IF(D73&gt;1,D73-1,0))</f>
        <v>0</v>
      </c>
      <c r="F73" s="30">
        <f>IF('19. Sewer - Capex Input'!$I56=F$3,'19. Sewer - Capex Input'!$G56,IF(E73&gt;1,E73-1,0))</f>
        <v>0</v>
      </c>
      <c r="G73" s="30">
        <f>IF('19. Sewer - Capex Input'!$I56=G$3,'19. Sewer - Capex Input'!$G56,IF(F73&gt;1,F73-1,0))</f>
        <v>20</v>
      </c>
      <c r="H73" s="30">
        <f>IF('19. Sewer - Capex Input'!$I56=H$3,'19. Sewer - Capex Input'!$G56,IF(G73&gt;1,G73-1,0))</f>
        <v>19</v>
      </c>
    </row>
    <row r="74" spans="2:8">
      <c r="B74" s="152">
        <f>'19. Sewer - Capex Input'!F57</f>
        <v>0</v>
      </c>
      <c r="D74" s="30">
        <f>IF('19. Sewer - Capex Input'!$I57=D$3,'19. Sewer - Capex Input'!$G57,IF(C74&gt;1,C74-1,0))</f>
        <v>0</v>
      </c>
      <c r="E74" s="30">
        <f>IF('19. Sewer - Capex Input'!$I57=E$3,'19. Sewer - Capex Input'!$G57,IF(D74&gt;1,D74-1,0))</f>
        <v>0</v>
      </c>
      <c r="F74" s="30">
        <f>IF('19. Sewer - Capex Input'!$I57=F$3,'19. Sewer - Capex Input'!$G57,IF(E74&gt;1,E74-1,0))</f>
        <v>0</v>
      </c>
      <c r="G74" s="30">
        <f>IF('19. Sewer - Capex Input'!$I57=G$3,'19. Sewer - Capex Input'!$G57,IF(F74&gt;1,F74-1,0))</f>
        <v>0</v>
      </c>
      <c r="H74" s="30">
        <f>IF('19. Sewer - Capex Input'!$I57=H$3,'19. Sewer - Capex Input'!$G57,IF(G74&gt;1,G74-1,0))</f>
        <v>20</v>
      </c>
    </row>
    <row r="75" spans="2:8">
      <c r="B75" s="152">
        <f>'19. Sewer - Capex Input'!F58</f>
        <v>0</v>
      </c>
      <c r="D75" s="30">
        <f>IF('19. Sewer - Capex Input'!$I58=D$3,'19. Sewer - Capex Input'!$G58,IF(C75&gt;1,C75-1,0))</f>
        <v>20</v>
      </c>
      <c r="E75" s="30">
        <f>IF('19. Sewer - Capex Input'!$I58=E$3,'19. Sewer - Capex Input'!$G58,IF(D75&gt;1,D75-1,0))</f>
        <v>19</v>
      </c>
      <c r="F75" s="30">
        <f>IF('19. Sewer - Capex Input'!$I58=F$3,'19. Sewer - Capex Input'!$G58,IF(E75&gt;1,E75-1,0))</f>
        <v>18</v>
      </c>
      <c r="G75" s="30">
        <f>IF('19. Sewer - Capex Input'!$I58=G$3,'19. Sewer - Capex Input'!$G58,IF(F75&gt;1,F75-1,0))</f>
        <v>17</v>
      </c>
      <c r="H75" s="30">
        <f>IF('19. Sewer - Capex Input'!$I58=H$3,'19. Sewer - Capex Input'!$G58,IF(G75&gt;1,G75-1,0))</f>
        <v>16</v>
      </c>
    </row>
    <row r="76" spans="2:8">
      <c r="B76" s="152">
        <f>'19. Sewer - Capex Input'!F59</f>
        <v>0</v>
      </c>
      <c r="D76" s="30">
        <f>IF('19. Sewer - Capex Input'!$I59=D$3,'19. Sewer - Capex Input'!$G59,IF(C76&gt;1,C76-1,0))</f>
        <v>0</v>
      </c>
      <c r="E76" s="30">
        <f>IF('19. Sewer - Capex Input'!$I59=E$3,'19. Sewer - Capex Input'!$G59,IF(D76&gt;1,D76-1,0))</f>
        <v>20</v>
      </c>
      <c r="F76" s="30">
        <f>IF('19. Sewer - Capex Input'!$I59=F$3,'19. Sewer - Capex Input'!$G59,IF(E76&gt;1,E76-1,0))</f>
        <v>19</v>
      </c>
      <c r="G76" s="30">
        <f>IF('19. Sewer - Capex Input'!$I59=G$3,'19. Sewer - Capex Input'!$G59,IF(F76&gt;1,F76-1,0))</f>
        <v>18</v>
      </c>
      <c r="H76" s="30">
        <f>IF('19. Sewer - Capex Input'!$I59=H$3,'19. Sewer - Capex Input'!$G59,IF(G76&gt;1,G76-1,0))</f>
        <v>17</v>
      </c>
    </row>
    <row r="77" spans="2:8">
      <c r="B77" s="152">
        <f>'19. Sewer - Capex Input'!F60</f>
        <v>0</v>
      </c>
      <c r="D77" s="30">
        <f>IF('19. Sewer - Capex Input'!$I60=D$3,'19. Sewer - Capex Input'!$G60,IF(C77&gt;1,C77-1,0))</f>
        <v>0</v>
      </c>
      <c r="E77" s="30">
        <f>IF('19. Sewer - Capex Input'!$I60=E$3,'19. Sewer - Capex Input'!$G60,IF(D77&gt;1,D77-1,0))</f>
        <v>0</v>
      </c>
      <c r="F77" s="30">
        <f>IF('19. Sewer - Capex Input'!$I60=F$3,'19. Sewer - Capex Input'!$G60,IF(E77&gt;1,E77-1,0))</f>
        <v>20</v>
      </c>
      <c r="G77" s="30">
        <f>IF('19. Sewer - Capex Input'!$I60=G$3,'19. Sewer - Capex Input'!$G60,IF(F77&gt;1,F77-1,0))</f>
        <v>19</v>
      </c>
      <c r="H77" s="30">
        <f>IF('19. Sewer - Capex Input'!$I60=H$3,'19. Sewer - Capex Input'!$G60,IF(G77&gt;1,G77-1,0))</f>
        <v>18</v>
      </c>
    </row>
    <row r="78" spans="2:8">
      <c r="B78" s="152">
        <f>'19. Sewer - Capex Input'!F61</f>
        <v>0</v>
      </c>
      <c r="D78" s="30">
        <f>IF('19. Sewer - Capex Input'!$I61=D$3,'19. Sewer - Capex Input'!$G61,IF(C78&gt;1,C78-1,0))</f>
        <v>0</v>
      </c>
      <c r="E78" s="30">
        <f>IF('19. Sewer - Capex Input'!$I61=E$3,'19. Sewer - Capex Input'!$G61,IF(D78&gt;1,D78-1,0))</f>
        <v>0</v>
      </c>
      <c r="F78" s="30">
        <f>IF('19. Sewer - Capex Input'!$I61=F$3,'19. Sewer - Capex Input'!$G61,IF(E78&gt;1,E78-1,0))</f>
        <v>0</v>
      </c>
      <c r="G78" s="30">
        <f>IF('19. Sewer - Capex Input'!$I61=G$3,'19. Sewer - Capex Input'!$G61,IF(F78&gt;1,F78-1,0))</f>
        <v>20</v>
      </c>
      <c r="H78" s="30">
        <f>IF('19. Sewer - Capex Input'!$I61=H$3,'19. Sewer - Capex Input'!$G61,IF(G78&gt;1,G78-1,0))</f>
        <v>19</v>
      </c>
    </row>
    <row r="79" spans="2:8">
      <c r="B79" s="152">
        <f>'19. Sewer - Capex Input'!F62</f>
        <v>0</v>
      </c>
      <c r="D79" s="30">
        <f>IF('19. Sewer - Capex Input'!$I62=D$3,'19. Sewer - Capex Input'!$G62,IF(C79&gt;1,C79-1,0))</f>
        <v>0</v>
      </c>
      <c r="E79" s="30">
        <f>IF('19. Sewer - Capex Input'!$I62=E$3,'19. Sewer - Capex Input'!$G62,IF(D79&gt;1,D79-1,0))</f>
        <v>0</v>
      </c>
      <c r="F79" s="30">
        <f>IF('19. Sewer - Capex Input'!$I62=F$3,'19. Sewer - Capex Input'!$G62,IF(E79&gt;1,E79-1,0))</f>
        <v>0</v>
      </c>
      <c r="G79" s="30">
        <f>IF('19. Sewer - Capex Input'!$I62=G$3,'19. Sewer - Capex Input'!$G62,IF(F79&gt;1,F79-1,0))</f>
        <v>80</v>
      </c>
      <c r="H79" s="30">
        <f>IF('19. Sewer - Capex Input'!$I62=H$3,'19. Sewer - Capex Input'!$G62,IF(G79&gt;1,G79-1,0))</f>
        <v>79</v>
      </c>
    </row>
    <row r="80" spans="2:8">
      <c r="B80" s="152">
        <f>'19. Sewer - Capex Input'!F63</f>
        <v>0</v>
      </c>
      <c r="D80" s="30">
        <f>IF('19. Sewer - Capex Input'!$I63=D$3,'19. Sewer - Capex Input'!$G63,IF(C80&gt;1,C80-1,0))</f>
        <v>0</v>
      </c>
      <c r="E80" s="30">
        <f>IF('19. Sewer - Capex Input'!$I63=E$3,'19. Sewer - Capex Input'!$G63,IF(D80&gt;1,D80-1,0))</f>
        <v>0</v>
      </c>
      <c r="F80" s="30">
        <f>IF('19. Sewer - Capex Input'!$I63=F$3,'19. Sewer - Capex Input'!$G63,IF(E80&gt;1,E80-1,0))</f>
        <v>0</v>
      </c>
      <c r="G80" s="30">
        <f>IF('19. Sewer - Capex Input'!$I63=G$3,'19. Sewer - Capex Input'!$G63,IF(F80&gt;1,F80-1,0))</f>
        <v>0</v>
      </c>
      <c r="H80" s="30">
        <f>IF('19. Sewer - Capex Input'!$I63=H$3,'19. Sewer - Capex Input'!$G63,IF(G80&gt;1,G80-1,0))</f>
        <v>80</v>
      </c>
    </row>
    <row r="81" spans="2:8">
      <c r="B81" s="152">
        <f>'19. Sewer - Capex Input'!F64</f>
        <v>0</v>
      </c>
      <c r="D81" s="30">
        <f>IF('19. Sewer - Capex Input'!$I64=D$3,'19. Sewer - Capex Input'!$G64,IF(C81&gt;1,C81-1,0))</f>
        <v>30</v>
      </c>
      <c r="E81" s="30">
        <f>IF('19. Sewer - Capex Input'!$I64=E$3,'19. Sewer - Capex Input'!$G64,IF(D81&gt;1,D81-1,0))</f>
        <v>29</v>
      </c>
      <c r="F81" s="30">
        <f>IF('19. Sewer - Capex Input'!$I64=F$3,'19. Sewer - Capex Input'!$G64,IF(E81&gt;1,E81-1,0))</f>
        <v>28</v>
      </c>
      <c r="G81" s="30">
        <f>IF('19. Sewer - Capex Input'!$I64=G$3,'19. Sewer - Capex Input'!$G64,IF(F81&gt;1,F81-1,0))</f>
        <v>27</v>
      </c>
      <c r="H81" s="30">
        <f>IF('19. Sewer - Capex Input'!$I64=H$3,'19. Sewer - Capex Input'!$G64,IF(G81&gt;1,G81-1,0))</f>
        <v>26</v>
      </c>
    </row>
    <row r="82" spans="2:8">
      <c r="B82" s="152">
        <f>'19. Sewer - Capex Input'!F65</f>
        <v>0</v>
      </c>
      <c r="D82" s="30">
        <f>IF('19. Sewer - Capex Input'!$I65=D$3,'19. Sewer - Capex Input'!$G65,IF(C82&gt;1,C82-1,0))</f>
        <v>0</v>
      </c>
      <c r="E82" s="30">
        <f>IF('19. Sewer - Capex Input'!$I65=E$3,'19. Sewer - Capex Input'!$G65,IF(D82&gt;1,D82-1,0))</f>
        <v>30</v>
      </c>
      <c r="F82" s="30">
        <f>IF('19. Sewer - Capex Input'!$I65=F$3,'19. Sewer - Capex Input'!$G65,IF(E82&gt;1,E82-1,0))</f>
        <v>29</v>
      </c>
      <c r="G82" s="30">
        <f>IF('19. Sewer - Capex Input'!$I65=G$3,'19. Sewer - Capex Input'!$G65,IF(F82&gt;1,F82-1,0))</f>
        <v>28</v>
      </c>
      <c r="H82" s="30">
        <f>IF('19. Sewer - Capex Input'!$I65=H$3,'19. Sewer - Capex Input'!$G65,IF(G82&gt;1,G82-1,0))</f>
        <v>27</v>
      </c>
    </row>
    <row r="83" spans="2:8">
      <c r="B83" s="152">
        <f>'19. Sewer - Capex Input'!F66</f>
        <v>0</v>
      </c>
      <c r="D83" s="30">
        <f>IF('19. Sewer - Capex Input'!$I66=D$3,'19. Sewer - Capex Input'!$G66,IF(C83&gt;1,C83-1,0))</f>
        <v>0</v>
      </c>
      <c r="E83" s="30">
        <f>IF('19. Sewer - Capex Input'!$I66=E$3,'19. Sewer - Capex Input'!$G66,IF(D83&gt;1,D83-1,0))</f>
        <v>0</v>
      </c>
      <c r="F83" s="30">
        <f>IF('19. Sewer - Capex Input'!$I66=F$3,'19. Sewer - Capex Input'!$G66,IF(E83&gt;1,E83-1,0))</f>
        <v>30</v>
      </c>
      <c r="G83" s="30">
        <f>IF('19. Sewer - Capex Input'!$I66=G$3,'19. Sewer - Capex Input'!$G66,IF(F83&gt;1,F83-1,0))</f>
        <v>29</v>
      </c>
      <c r="H83" s="30">
        <f>IF('19. Sewer - Capex Input'!$I66=H$3,'19. Sewer - Capex Input'!$G66,IF(G83&gt;1,G83-1,0))</f>
        <v>28</v>
      </c>
    </row>
    <row r="84" spans="2:8">
      <c r="B84" s="152">
        <f>'19. Sewer - Capex Input'!F67</f>
        <v>0</v>
      </c>
      <c r="D84" s="30">
        <f>IF('19. Sewer - Capex Input'!$I67=D$3,'19. Sewer - Capex Input'!$G67,IF(C84&gt;1,C84-1,0))</f>
        <v>0</v>
      </c>
      <c r="E84" s="30">
        <f>IF('19. Sewer - Capex Input'!$I67=E$3,'19. Sewer - Capex Input'!$G67,IF(D84&gt;1,D84-1,0))</f>
        <v>0</v>
      </c>
      <c r="F84" s="30">
        <f>IF('19. Sewer - Capex Input'!$I67=F$3,'19. Sewer - Capex Input'!$G67,IF(E84&gt;1,E84-1,0))</f>
        <v>0</v>
      </c>
      <c r="G84" s="30">
        <f>IF('19. Sewer - Capex Input'!$I67=G$3,'19. Sewer - Capex Input'!$G67,IF(F84&gt;1,F84-1,0))</f>
        <v>30</v>
      </c>
      <c r="H84" s="30">
        <f>IF('19. Sewer - Capex Input'!$I67=H$3,'19. Sewer - Capex Input'!$G67,IF(G84&gt;1,G84-1,0))</f>
        <v>29</v>
      </c>
    </row>
    <row r="85" spans="2:8">
      <c r="B85" s="152">
        <f>'19. Sewer - Capex Input'!F68</f>
        <v>0</v>
      </c>
      <c r="D85" s="30">
        <f>IF('19. Sewer - Capex Input'!$I68=D$3,'19. Sewer - Capex Input'!$G68,IF(C85&gt;1,C85-1,0))</f>
        <v>0</v>
      </c>
      <c r="E85" s="30">
        <f>IF('19. Sewer - Capex Input'!$I68=E$3,'19. Sewer - Capex Input'!$G68,IF(D85&gt;1,D85-1,0))</f>
        <v>0</v>
      </c>
      <c r="F85" s="30">
        <f>IF('19. Sewer - Capex Input'!$I68=F$3,'19. Sewer - Capex Input'!$G68,IF(E85&gt;1,E85-1,0))</f>
        <v>0</v>
      </c>
      <c r="G85" s="30">
        <f>IF('19. Sewer - Capex Input'!$I68=G$3,'19. Sewer - Capex Input'!$G68,IF(F85&gt;1,F85-1,0))</f>
        <v>0</v>
      </c>
      <c r="H85" s="30">
        <f>IF('19. Sewer - Capex Input'!$I68=H$3,'19. Sewer - Capex Input'!$G68,IF(G85&gt;1,G85-1,0))</f>
        <v>30</v>
      </c>
    </row>
    <row r="86" spans="2:8">
      <c r="B86" s="152">
        <f>'19. Sewer - Capex Input'!F69</f>
        <v>0</v>
      </c>
      <c r="D86" s="30">
        <f>IF('19. Sewer - Capex Input'!$I69=D$3,'19. Sewer - Capex Input'!$G69,IF(C86&gt;1,C86-1,0))</f>
        <v>60</v>
      </c>
      <c r="E86" s="30">
        <f>IF('19. Sewer - Capex Input'!$I69=E$3,'19. Sewer - Capex Input'!$G69,IF(D86&gt;1,D86-1,0))</f>
        <v>59</v>
      </c>
      <c r="F86" s="30">
        <f>IF('19. Sewer - Capex Input'!$I69=F$3,'19. Sewer - Capex Input'!$G69,IF(E86&gt;1,E86-1,0))</f>
        <v>58</v>
      </c>
      <c r="G86" s="30">
        <f>IF('19. Sewer - Capex Input'!$I69=G$3,'19. Sewer - Capex Input'!$G69,IF(F86&gt;1,F86-1,0))</f>
        <v>57</v>
      </c>
      <c r="H86" s="30">
        <f>IF('19. Sewer - Capex Input'!$I69=H$3,'19. Sewer - Capex Input'!$G69,IF(G86&gt;1,G86-1,0))</f>
        <v>56</v>
      </c>
    </row>
    <row r="87" spans="2:8">
      <c r="B87" s="152">
        <f>'19. Sewer - Capex Input'!F70</f>
        <v>0</v>
      </c>
      <c r="D87" s="30">
        <f>IF('19. Sewer - Capex Input'!$I70=D$3,'19. Sewer - Capex Input'!$G70,IF(C87&gt;1,C87-1,0))</f>
        <v>0</v>
      </c>
      <c r="E87" s="30">
        <f>IF('19. Sewer - Capex Input'!$I70=E$3,'19. Sewer - Capex Input'!$G70,IF(D87&gt;1,D87-1,0))</f>
        <v>60</v>
      </c>
      <c r="F87" s="30">
        <f>IF('19. Sewer - Capex Input'!$I70=F$3,'19. Sewer - Capex Input'!$G70,IF(E87&gt;1,E87-1,0))</f>
        <v>59</v>
      </c>
      <c r="G87" s="30">
        <f>IF('19. Sewer - Capex Input'!$I70=G$3,'19. Sewer - Capex Input'!$G70,IF(F87&gt;1,F87-1,0))</f>
        <v>58</v>
      </c>
      <c r="H87" s="30">
        <f>IF('19. Sewer - Capex Input'!$I70=H$3,'19. Sewer - Capex Input'!$G70,IF(G87&gt;1,G87-1,0))</f>
        <v>57</v>
      </c>
    </row>
    <row r="88" spans="2:8">
      <c r="B88" s="152">
        <f>'19. Sewer - Capex Input'!F71</f>
        <v>0</v>
      </c>
      <c r="D88" s="30">
        <f>IF('19. Sewer - Capex Input'!$I71=D$3,'19. Sewer - Capex Input'!$G71,IF(C88&gt;1,C88-1,0))</f>
        <v>0</v>
      </c>
      <c r="E88" s="30">
        <f>IF('19. Sewer - Capex Input'!$I71=E$3,'19. Sewer - Capex Input'!$G71,IF(D88&gt;1,D88-1,0))</f>
        <v>0</v>
      </c>
      <c r="F88" s="30">
        <f>IF('19. Sewer - Capex Input'!$I71=F$3,'19. Sewer - Capex Input'!$G71,IF(E88&gt;1,E88-1,0))</f>
        <v>60</v>
      </c>
      <c r="G88" s="30">
        <f>IF('19. Sewer - Capex Input'!$I71=G$3,'19. Sewer - Capex Input'!$G71,IF(F88&gt;1,F88-1,0))</f>
        <v>59</v>
      </c>
      <c r="H88" s="30">
        <f>IF('19. Sewer - Capex Input'!$I71=H$3,'19. Sewer - Capex Input'!$G71,IF(G88&gt;1,G88-1,0))</f>
        <v>58</v>
      </c>
    </row>
    <row r="89" spans="2:8">
      <c r="B89" s="152">
        <f>'19. Sewer - Capex Input'!F72</f>
        <v>0</v>
      </c>
      <c r="D89" s="30">
        <f>IF('19. Sewer - Capex Input'!$I72=D$3,'19. Sewer - Capex Input'!$G72,IF(C89&gt;1,C89-1,0))</f>
        <v>60</v>
      </c>
      <c r="E89" s="30">
        <f>IF('19. Sewer - Capex Input'!$I72=E$3,'19. Sewer - Capex Input'!$G72,IF(D89&gt;1,D89-1,0))</f>
        <v>59</v>
      </c>
      <c r="F89" s="30">
        <f>IF('19. Sewer - Capex Input'!$I72=F$3,'19. Sewer - Capex Input'!$G72,IF(E89&gt;1,E89-1,0))</f>
        <v>58</v>
      </c>
      <c r="G89" s="30">
        <f>IF('19. Sewer - Capex Input'!$I72=G$3,'19. Sewer - Capex Input'!$G72,IF(F89&gt;1,F89-1,0))</f>
        <v>57</v>
      </c>
      <c r="H89" s="30">
        <f>IF('19. Sewer - Capex Input'!$I72=H$3,'19. Sewer - Capex Input'!$G72,IF(G89&gt;1,G89-1,0))</f>
        <v>56</v>
      </c>
    </row>
    <row r="90" spans="2:8">
      <c r="B90" s="152">
        <f>'19. Sewer - Capex Input'!F73</f>
        <v>0</v>
      </c>
      <c r="D90" s="30">
        <f>IF('19. Sewer - Capex Input'!$I73=D$3,'19. Sewer - Capex Input'!$G73,IF(C90&gt;1,C90-1,0))</f>
        <v>0</v>
      </c>
      <c r="E90" s="30">
        <f>IF('19. Sewer - Capex Input'!$I73=E$3,'19. Sewer - Capex Input'!$G73,IF(D90&gt;1,D90-1,0))</f>
        <v>60</v>
      </c>
      <c r="F90" s="30">
        <f>IF('19. Sewer - Capex Input'!$I73=F$3,'19. Sewer - Capex Input'!$G73,IF(E90&gt;1,E90-1,0))</f>
        <v>59</v>
      </c>
      <c r="G90" s="30">
        <f>IF('19. Sewer - Capex Input'!$I73=G$3,'19. Sewer - Capex Input'!$G73,IF(F90&gt;1,F90-1,0))</f>
        <v>58</v>
      </c>
      <c r="H90" s="30">
        <f>IF('19. Sewer - Capex Input'!$I73=H$3,'19. Sewer - Capex Input'!$G73,IF(G90&gt;1,G90-1,0))</f>
        <v>57</v>
      </c>
    </row>
    <row r="91" spans="2:8">
      <c r="B91" s="152">
        <f>'19. Sewer - Capex Input'!F74</f>
        <v>0</v>
      </c>
      <c r="D91" s="30">
        <f>IF('19. Sewer - Capex Input'!$I74=D$3,'19. Sewer - Capex Input'!$G74,IF(C91&gt;1,C91-1,0))</f>
        <v>80</v>
      </c>
      <c r="E91" s="30">
        <f>IF('19. Sewer - Capex Input'!$I74=E$3,'19. Sewer - Capex Input'!$G74,IF(D91&gt;1,D91-1,0))</f>
        <v>79</v>
      </c>
      <c r="F91" s="30">
        <f>IF('19. Sewer - Capex Input'!$I74=F$3,'19. Sewer - Capex Input'!$G74,IF(E91&gt;1,E91-1,0))</f>
        <v>78</v>
      </c>
      <c r="G91" s="30">
        <f>IF('19. Sewer - Capex Input'!$I74=G$3,'19. Sewer - Capex Input'!$G74,IF(F91&gt;1,F91-1,0))</f>
        <v>77</v>
      </c>
      <c r="H91" s="30">
        <f>IF('19. Sewer - Capex Input'!$I74=H$3,'19. Sewer - Capex Input'!$G74,IF(G91&gt;1,G91-1,0))</f>
        <v>76</v>
      </c>
    </row>
    <row r="92" spans="2:8">
      <c r="B92" s="152">
        <f>'19. Sewer - Capex Input'!F75</f>
        <v>0</v>
      </c>
      <c r="D92" s="30">
        <f>IF('19. Sewer - Capex Input'!$I75=D$3,'19. Sewer - Capex Input'!$G75,IF(C92&gt;1,C92-1,0))</f>
        <v>0</v>
      </c>
      <c r="E92" s="30">
        <f>IF('19. Sewer - Capex Input'!$I75=E$3,'19. Sewer - Capex Input'!$G75,IF(D92&gt;1,D92-1,0))</f>
        <v>80</v>
      </c>
      <c r="F92" s="30">
        <f>IF('19. Sewer - Capex Input'!$I75=F$3,'19. Sewer - Capex Input'!$G75,IF(E92&gt;1,E92-1,0))</f>
        <v>79</v>
      </c>
      <c r="G92" s="30">
        <f>IF('19. Sewer - Capex Input'!$I75=G$3,'19. Sewer - Capex Input'!$G75,IF(F92&gt;1,F92-1,0))</f>
        <v>78</v>
      </c>
      <c r="H92" s="30">
        <f>IF('19. Sewer - Capex Input'!$I75=H$3,'19. Sewer - Capex Input'!$G75,IF(G92&gt;1,G92-1,0))</f>
        <v>77</v>
      </c>
    </row>
    <row r="93" spans="2:8">
      <c r="B93" s="152">
        <f>'19. Sewer - Capex Input'!F76</f>
        <v>0</v>
      </c>
      <c r="D93" s="30">
        <f>IF('19. Sewer - Capex Input'!$I76=D$3,'19. Sewer - Capex Input'!$G76,IF(C93&gt;1,C93-1,0))</f>
        <v>0</v>
      </c>
      <c r="E93" s="30">
        <f>IF('19. Sewer - Capex Input'!$I76=E$3,'19. Sewer - Capex Input'!$G76,IF(D93&gt;1,D93-1,0))</f>
        <v>0</v>
      </c>
      <c r="F93" s="30">
        <f>IF('19. Sewer - Capex Input'!$I76=F$3,'19. Sewer - Capex Input'!$G76,IF(E93&gt;1,E93-1,0))</f>
        <v>80</v>
      </c>
      <c r="G93" s="30">
        <f>IF('19. Sewer - Capex Input'!$I76=G$3,'19. Sewer - Capex Input'!$G76,IF(F93&gt;1,F93-1,0))</f>
        <v>79</v>
      </c>
      <c r="H93" s="30">
        <f>IF('19. Sewer - Capex Input'!$I76=H$3,'19. Sewer - Capex Input'!$G76,IF(G93&gt;1,G93-1,0))</f>
        <v>78</v>
      </c>
    </row>
    <row r="94" spans="2:8">
      <c r="B94" s="152">
        <f>'19. Sewer - Capex Input'!F77</f>
        <v>0</v>
      </c>
      <c r="D94" s="30">
        <f>IF('19. Sewer - Capex Input'!$I77=D$3,'19. Sewer - Capex Input'!$G77,IF(C94&gt;1,C94-1,0))</f>
        <v>0</v>
      </c>
      <c r="E94" s="30">
        <f>IF('19. Sewer - Capex Input'!$I77=E$3,'19. Sewer - Capex Input'!$G77,IF(D94&gt;1,D94-1,0))</f>
        <v>0</v>
      </c>
      <c r="F94" s="30">
        <f>IF('19. Sewer - Capex Input'!$I77=F$3,'19. Sewer - Capex Input'!$G77,IF(E94&gt;1,E94-1,0))</f>
        <v>0</v>
      </c>
      <c r="G94" s="30">
        <f>IF('19. Sewer - Capex Input'!$I77=G$3,'19. Sewer - Capex Input'!$G77,IF(F94&gt;1,F94-1,0))</f>
        <v>80</v>
      </c>
      <c r="H94" s="30">
        <f>IF('19. Sewer - Capex Input'!$I77=H$3,'19. Sewer - Capex Input'!$G77,IF(G94&gt;1,G94-1,0))</f>
        <v>79</v>
      </c>
    </row>
    <row r="95" spans="2:8">
      <c r="B95" s="152">
        <f>'19. Sewer - Capex Input'!F78</f>
        <v>0</v>
      </c>
      <c r="D95" s="30">
        <f>IF('19. Sewer - Capex Input'!$I78=D$3,'19. Sewer - Capex Input'!$G78,IF(C95&gt;1,C95-1,0))</f>
        <v>0</v>
      </c>
      <c r="E95" s="30">
        <f>IF('19. Sewer - Capex Input'!$I78=E$3,'19. Sewer - Capex Input'!$G78,IF(D95&gt;1,D95-1,0))</f>
        <v>0</v>
      </c>
      <c r="F95" s="30">
        <f>IF('19. Sewer - Capex Input'!$I78=F$3,'19. Sewer - Capex Input'!$G78,IF(E95&gt;1,E95-1,0))</f>
        <v>0</v>
      </c>
      <c r="G95" s="30">
        <f>IF('19. Sewer - Capex Input'!$I78=G$3,'19. Sewer - Capex Input'!$G78,IF(F95&gt;1,F95-1,0))</f>
        <v>0</v>
      </c>
      <c r="H95" s="30">
        <f>IF('19. Sewer - Capex Input'!$I78=H$3,'19. Sewer - Capex Input'!$G78,IF(G95&gt;1,G95-1,0))</f>
        <v>80</v>
      </c>
    </row>
    <row r="96" spans="2:8">
      <c r="B96" s="152">
        <f>'19. Sewer - Capex Input'!F79</f>
        <v>0</v>
      </c>
      <c r="D96" s="30">
        <f>IF('19. Sewer - Capex Input'!$I79=D$3,'19. Sewer - Capex Input'!$G79,IF(C96&gt;1,C96-1,0))</f>
        <v>0</v>
      </c>
      <c r="E96" s="30">
        <f>IF('19. Sewer - Capex Input'!$I79=E$3,'19. Sewer - Capex Input'!$G79,IF(D96&gt;1,D96-1,0))</f>
        <v>0</v>
      </c>
      <c r="F96" s="30">
        <f>IF('19. Sewer - Capex Input'!$I79=F$3,'19. Sewer - Capex Input'!$G79,IF(E96&gt;1,E96-1,0))</f>
        <v>0</v>
      </c>
      <c r="G96" s="30">
        <f>IF('19. Sewer - Capex Input'!$I79=G$3,'19. Sewer - Capex Input'!$G79,IF(F96&gt;1,F96-1,0))</f>
        <v>20</v>
      </c>
      <c r="H96" s="30">
        <f>IF('19. Sewer - Capex Input'!$I79=H$3,'19. Sewer - Capex Input'!$G79,IF(G96&gt;1,G96-1,0))</f>
        <v>19</v>
      </c>
    </row>
    <row r="97" spans="2:8">
      <c r="B97" s="152">
        <f>'19. Sewer - Capex Input'!F80</f>
        <v>0</v>
      </c>
      <c r="D97" s="30">
        <f>IF('19. Sewer - Capex Input'!$I80=D$3,'19. Sewer - Capex Input'!$G80,IF(C97&gt;1,C97-1,0))</f>
        <v>0</v>
      </c>
      <c r="E97" s="30">
        <f>IF('19. Sewer - Capex Input'!$I80=E$3,'19. Sewer - Capex Input'!$G80,IF(D97&gt;1,D97-1,0))</f>
        <v>0</v>
      </c>
      <c r="F97" s="30">
        <f>IF('19. Sewer - Capex Input'!$I80=F$3,'19. Sewer - Capex Input'!$G80,IF(E97&gt;1,E97-1,0))</f>
        <v>0</v>
      </c>
      <c r="G97" s="30">
        <f>IF('19. Sewer - Capex Input'!$I80=G$3,'19. Sewer - Capex Input'!$G80,IF(F97&gt;1,F97-1,0))</f>
        <v>0</v>
      </c>
      <c r="H97" s="30">
        <f>IF('19. Sewer - Capex Input'!$I80=H$3,'19. Sewer - Capex Input'!$G80,IF(G97&gt;1,G97-1,0))</f>
        <v>20</v>
      </c>
    </row>
    <row r="98" spans="2:8">
      <c r="B98" s="152">
        <f>'19. Sewer - Capex Input'!F81</f>
        <v>0</v>
      </c>
      <c r="D98" s="30">
        <f>IF('19. Sewer - Capex Input'!$I81=D$3,'19. Sewer - Capex Input'!$G81,IF(C98&gt;1,C98-1,0))</f>
        <v>0</v>
      </c>
      <c r="E98" s="30">
        <f>IF('19. Sewer - Capex Input'!$I81=E$3,'19. Sewer - Capex Input'!$G81,IF(D98&gt;1,D98-1,0))</f>
        <v>0</v>
      </c>
      <c r="F98" s="30">
        <f>IF('19. Sewer - Capex Input'!$I81=F$3,'19. Sewer - Capex Input'!$G81,IF(E98&gt;1,E98-1,0))</f>
        <v>30</v>
      </c>
      <c r="G98" s="30">
        <f>IF('19. Sewer - Capex Input'!$I81=G$3,'19. Sewer - Capex Input'!$G81,IF(F98&gt;1,F98-1,0))</f>
        <v>29</v>
      </c>
      <c r="H98" s="30">
        <f>IF('19. Sewer - Capex Input'!$I81=H$3,'19. Sewer - Capex Input'!$G81,IF(G98&gt;1,G98-1,0))</f>
        <v>28</v>
      </c>
    </row>
    <row r="99" spans="2:8">
      <c r="B99" s="152">
        <f>'19. Sewer - Capex Input'!F82</f>
        <v>0</v>
      </c>
      <c r="D99" s="30">
        <f>IF('19. Sewer - Capex Input'!$I82=D$3,'19. Sewer - Capex Input'!$G82,IF(C99&gt;1,C99-1,0))</f>
        <v>0</v>
      </c>
      <c r="E99" s="30">
        <f>IF('19. Sewer - Capex Input'!$I82=E$3,'19. Sewer - Capex Input'!$G82,IF(D99&gt;1,D99-1,0))</f>
        <v>0</v>
      </c>
      <c r="F99" s="30">
        <f>IF('19. Sewer - Capex Input'!$I82=F$3,'19. Sewer - Capex Input'!$G82,IF(E99&gt;1,E99-1,0))</f>
        <v>0</v>
      </c>
      <c r="G99" s="30">
        <f>IF('19. Sewer - Capex Input'!$I82=G$3,'19. Sewer - Capex Input'!$G82,IF(F99&gt;1,F99-1,0))</f>
        <v>30</v>
      </c>
      <c r="H99" s="30">
        <f>IF('19. Sewer - Capex Input'!$I82=H$3,'19. Sewer - Capex Input'!$G82,IF(G99&gt;1,G99-1,0))</f>
        <v>29</v>
      </c>
    </row>
    <row r="100" spans="2:8">
      <c r="B100" s="152">
        <f>'19. Sewer - Capex Input'!F83</f>
        <v>0</v>
      </c>
      <c r="D100" s="30">
        <f>IF('19. Sewer - Capex Input'!$I83=D$3,'19. Sewer - Capex Input'!$G83,IF(C100&gt;1,C100-1,0))</f>
        <v>0</v>
      </c>
      <c r="E100" s="30">
        <f>IF('19. Sewer - Capex Input'!$I83=E$3,'19. Sewer - Capex Input'!$G83,IF(D100&gt;1,D100-1,0))</f>
        <v>0</v>
      </c>
      <c r="F100" s="30">
        <f>IF('19. Sewer - Capex Input'!$I83=F$3,'19. Sewer - Capex Input'!$G83,IF(E100&gt;1,E100-1,0))</f>
        <v>0</v>
      </c>
      <c r="G100" s="30">
        <f>IF('19. Sewer - Capex Input'!$I83=G$3,'19. Sewer - Capex Input'!$G83,IF(F100&gt;1,F100-1,0))</f>
        <v>0</v>
      </c>
      <c r="H100" s="30">
        <f>IF('19. Sewer - Capex Input'!$I83=H$3,'19. Sewer - Capex Input'!$G83,IF(G100&gt;1,G100-1,0))</f>
        <v>30</v>
      </c>
    </row>
    <row r="101" spans="2:8">
      <c r="B101" s="152">
        <f>'19. Sewer - Capex Input'!F84</f>
        <v>0</v>
      </c>
      <c r="D101" s="30">
        <f>IF('19. Sewer - Capex Input'!$I84=D$3,'19. Sewer - Capex Input'!$G84,IF(C101&gt;1,C101-1,0))</f>
        <v>0</v>
      </c>
      <c r="E101" s="30">
        <f>IF('19. Sewer - Capex Input'!$I84=E$3,'19. Sewer - Capex Input'!$G84,IF(D101&gt;1,D101-1,0))</f>
        <v>0</v>
      </c>
      <c r="F101" s="30">
        <f>IF('19. Sewer - Capex Input'!$I84=F$3,'19. Sewer - Capex Input'!$G84,IF(E101&gt;1,E101-1,0))</f>
        <v>0</v>
      </c>
      <c r="G101" s="30">
        <f>IF('19. Sewer - Capex Input'!$I84=G$3,'19. Sewer - Capex Input'!$G84,IF(F101&gt;1,F101-1,0))</f>
        <v>30</v>
      </c>
      <c r="H101" s="30">
        <f>IF('19. Sewer - Capex Input'!$I84=H$3,'19. Sewer - Capex Input'!$G84,IF(G101&gt;1,G101-1,0))</f>
        <v>29</v>
      </c>
    </row>
    <row r="102" spans="2:8">
      <c r="B102" s="152">
        <f>'19. Sewer - Capex Input'!F85</f>
        <v>0</v>
      </c>
      <c r="D102" s="30">
        <f>IF('19. Sewer - Capex Input'!$I85=D$3,'19. Sewer - Capex Input'!$G85,IF(C102&gt;1,C102-1,0))</f>
        <v>0</v>
      </c>
      <c r="E102" s="30">
        <f>IF('19. Sewer - Capex Input'!$I85=E$3,'19. Sewer - Capex Input'!$G85,IF(D102&gt;1,D102-1,0))</f>
        <v>0</v>
      </c>
      <c r="F102" s="30">
        <f>IF('19. Sewer - Capex Input'!$I85=F$3,'19. Sewer - Capex Input'!$G85,IF(E102&gt;1,E102-1,0))</f>
        <v>0</v>
      </c>
      <c r="G102" s="30">
        <f>IF('19. Sewer - Capex Input'!$I85=G$3,'19. Sewer - Capex Input'!$G85,IF(F102&gt;1,F102-1,0))</f>
        <v>0</v>
      </c>
      <c r="H102" s="30">
        <f>IF('19. Sewer - Capex Input'!$I85=H$3,'19. Sewer - Capex Input'!$G85,IF(G102&gt;1,G102-1,0))</f>
        <v>30</v>
      </c>
    </row>
    <row r="103" spans="2:8">
      <c r="B103" s="152">
        <f>'19. Sewer - Capex Input'!F86</f>
        <v>0</v>
      </c>
      <c r="D103" s="30">
        <f>IF('19. Sewer - Capex Input'!$I86=D$3,'19. Sewer - Capex Input'!$G86,IF(C103&gt;1,C103-1,0))</f>
        <v>80</v>
      </c>
      <c r="E103" s="30">
        <f>IF('19. Sewer - Capex Input'!$I86=E$3,'19. Sewer - Capex Input'!$G86,IF(D103&gt;1,D103-1,0))</f>
        <v>79</v>
      </c>
      <c r="F103" s="30">
        <f>IF('19. Sewer - Capex Input'!$I86=F$3,'19. Sewer - Capex Input'!$G86,IF(E103&gt;1,E103-1,0))</f>
        <v>78</v>
      </c>
      <c r="G103" s="30">
        <f>IF('19. Sewer - Capex Input'!$I86=G$3,'19. Sewer - Capex Input'!$G86,IF(F103&gt;1,F103-1,0))</f>
        <v>77</v>
      </c>
      <c r="H103" s="30">
        <f>IF('19. Sewer - Capex Input'!$I86=H$3,'19. Sewer - Capex Input'!$G86,IF(G103&gt;1,G103-1,0))</f>
        <v>76</v>
      </c>
    </row>
    <row r="104" spans="2:8">
      <c r="B104" s="152">
        <f>'19. Sewer - Capex Input'!F87</f>
        <v>0</v>
      </c>
      <c r="D104" s="30">
        <f>IF('19. Sewer - Capex Input'!$I87=D$3,'19. Sewer - Capex Input'!$G87,IF(C104&gt;1,C104-1,0))</f>
        <v>0</v>
      </c>
      <c r="E104" s="30">
        <f>IF('19. Sewer - Capex Input'!$I87=E$3,'19. Sewer - Capex Input'!$G87,IF(D104&gt;1,D104-1,0))</f>
        <v>80</v>
      </c>
      <c r="F104" s="30">
        <f>IF('19. Sewer - Capex Input'!$I87=F$3,'19. Sewer - Capex Input'!$G87,IF(E104&gt;1,E104-1,0))</f>
        <v>79</v>
      </c>
      <c r="G104" s="30">
        <f>IF('19. Sewer - Capex Input'!$I87=G$3,'19. Sewer - Capex Input'!$G87,IF(F104&gt;1,F104-1,0))</f>
        <v>78</v>
      </c>
      <c r="H104" s="30">
        <f>IF('19. Sewer - Capex Input'!$I87=H$3,'19. Sewer - Capex Input'!$G87,IF(G104&gt;1,G104-1,0))</f>
        <v>77</v>
      </c>
    </row>
    <row r="105" spans="2:8">
      <c r="B105" s="152">
        <f>'19. Sewer - Capex Input'!F88</f>
        <v>0</v>
      </c>
      <c r="D105" s="30">
        <f>IF('19. Sewer - Capex Input'!$I88=D$3,'19. Sewer - Capex Input'!$G88,IF(C105&gt;1,C105-1,0))</f>
        <v>60</v>
      </c>
      <c r="E105" s="30">
        <f>IF('19. Sewer - Capex Input'!$I88=E$3,'19. Sewer - Capex Input'!$G88,IF(D105&gt;1,D105-1,0))</f>
        <v>59</v>
      </c>
      <c r="F105" s="30">
        <f>IF('19. Sewer - Capex Input'!$I88=F$3,'19. Sewer - Capex Input'!$G88,IF(E105&gt;1,E105-1,0))</f>
        <v>58</v>
      </c>
      <c r="G105" s="30">
        <f>IF('19. Sewer - Capex Input'!$I88=G$3,'19. Sewer - Capex Input'!$G88,IF(F105&gt;1,F105-1,0))</f>
        <v>57</v>
      </c>
      <c r="H105" s="30">
        <f>IF('19. Sewer - Capex Input'!$I88=H$3,'19. Sewer - Capex Input'!$G88,IF(G105&gt;1,G105-1,0))</f>
        <v>56</v>
      </c>
    </row>
    <row r="106" spans="2:8">
      <c r="B106" s="152">
        <f>'19. Sewer - Capex Input'!F89</f>
        <v>0</v>
      </c>
      <c r="D106" s="30">
        <f>IF('19. Sewer - Capex Input'!$I89=D$3,'19. Sewer - Capex Input'!$G89,IF(C106&gt;1,C106-1,0))</f>
        <v>0</v>
      </c>
      <c r="E106" s="30">
        <f>IF('19. Sewer - Capex Input'!$I89=E$3,'19. Sewer - Capex Input'!$G89,IF(D106&gt;1,D106-1,0))</f>
        <v>60</v>
      </c>
      <c r="F106" s="30">
        <f>IF('19. Sewer - Capex Input'!$I89=F$3,'19. Sewer - Capex Input'!$G89,IF(E106&gt;1,E106-1,0))</f>
        <v>59</v>
      </c>
      <c r="G106" s="30">
        <f>IF('19. Sewer - Capex Input'!$I89=G$3,'19. Sewer - Capex Input'!$G89,IF(F106&gt;1,F106-1,0))</f>
        <v>58</v>
      </c>
      <c r="H106" s="30">
        <f>IF('19. Sewer - Capex Input'!$I89=H$3,'19. Sewer - Capex Input'!$G89,IF(G106&gt;1,G106-1,0))</f>
        <v>57</v>
      </c>
    </row>
    <row r="107" spans="2:8">
      <c r="B107" s="152">
        <f>'19. Sewer - Capex Input'!F90</f>
        <v>0</v>
      </c>
      <c r="D107" s="30">
        <f>IF('19. Sewer - Capex Input'!$I90=D$3,'19. Sewer - Capex Input'!$G90,IF(C107&gt;1,C107-1,0))</f>
        <v>60</v>
      </c>
      <c r="E107" s="30">
        <f>IF('19. Sewer - Capex Input'!$I90=E$3,'19. Sewer - Capex Input'!$G90,IF(D107&gt;1,D107-1,0))</f>
        <v>59</v>
      </c>
      <c r="F107" s="30">
        <f>IF('19. Sewer - Capex Input'!$I90=F$3,'19. Sewer - Capex Input'!$G90,IF(E107&gt;1,E107-1,0))</f>
        <v>58</v>
      </c>
      <c r="G107" s="30">
        <f>IF('19. Sewer - Capex Input'!$I90=G$3,'19. Sewer - Capex Input'!$G90,IF(F107&gt;1,F107-1,0))</f>
        <v>57</v>
      </c>
      <c r="H107" s="30">
        <f>IF('19. Sewer - Capex Input'!$I90=H$3,'19. Sewer - Capex Input'!$G90,IF(G107&gt;1,G107-1,0))</f>
        <v>56</v>
      </c>
    </row>
    <row r="108" spans="2:8">
      <c r="B108" s="152">
        <f>'19. Sewer - Capex Input'!F91</f>
        <v>0</v>
      </c>
      <c r="D108" s="30">
        <f>IF('19. Sewer - Capex Input'!$I91=D$3,'19. Sewer - Capex Input'!$G91,IF(C108&gt;1,C108-1,0))</f>
        <v>0</v>
      </c>
      <c r="E108" s="30">
        <f>IF('19. Sewer - Capex Input'!$I91=E$3,'19. Sewer - Capex Input'!$G91,IF(D108&gt;1,D108-1,0))</f>
        <v>60</v>
      </c>
      <c r="F108" s="30">
        <f>IF('19. Sewer - Capex Input'!$I91=F$3,'19. Sewer - Capex Input'!$G91,IF(E108&gt;1,E108-1,0))</f>
        <v>59</v>
      </c>
      <c r="G108" s="30">
        <f>IF('19. Sewer - Capex Input'!$I91=G$3,'19. Sewer - Capex Input'!$G91,IF(F108&gt;1,F108-1,0))</f>
        <v>58</v>
      </c>
      <c r="H108" s="30">
        <f>IF('19. Sewer - Capex Input'!$I91=H$3,'19. Sewer - Capex Input'!$G91,IF(G108&gt;1,G108-1,0))</f>
        <v>57</v>
      </c>
    </row>
    <row r="109" spans="2:8">
      <c r="B109" s="152">
        <f>'19. Sewer - Capex Input'!F92</f>
        <v>0</v>
      </c>
      <c r="D109" s="30">
        <f>IF('19. Sewer - Capex Input'!$I92=D$3,'19. Sewer - Capex Input'!$G92,IF(C109&gt;1,C109-1,0))</f>
        <v>0</v>
      </c>
      <c r="E109" s="30">
        <f>IF('19. Sewer - Capex Input'!$I92=E$3,'19. Sewer - Capex Input'!$G92,IF(D109&gt;1,D109-1,0))</f>
        <v>0</v>
      </c>
      <c r="F109" s="30">
        <f>IF('19. Sewer - Capex Input'!$I92=F$3,'19. Sewer - Capex Input'!$G92,IF(E109&gt;1,E109-1,0))</f>
        <v>30</v>
      </c>
      <c r="G109" s="30">
        <f>IF('19. Sewer - Capex Input'!$I92=G$3,'19. Sewer - Capex Input'!$G92,IF(F109&gt;1,F109-1,0))</f>
        <v>29</v>
      </c>
      <c r="H109" s="30">
        <f>IF('19. Sewer - Capex Input'!$I92=H$3,'19. Sewer - Capex Input'!$G92,IF(G109&gt;1,G109-1,0))</f>
        <v>28</v>
      </c>
    </row>
    <row r="110" spans="2:8">
      <c r="B110" s="152">
        <f>'19. Sewer - Capex Input'!F93</f>
        <v>0</v>
      </c>
      <c r="D110" s="30">
        <f>IF('19. Sewer - Capex Input'!$I93=D$3,'19. Sewer - Capex Input'!$G93,IF(C110&gt;1,C110-1,0))</f>
        <v>60</v>
      </c>
      <c r="E110" s="30">
        <f>IF('19. Sewer - Capex Input'!$I93=E$3,'19. Sewer - Capex Input'!$G93,IF(D110&gt;1,D110-1,0))</f>
        <v>59</v>
      </c>
      <c r="F110" s="30">
        <f>IF('19. Sewer - Capex Input'!$I93=F$3,'19. Sewer - Capex Input'!$G93,IF(E110&gt;1,E110-1,0))</f>
        <v>58</v>
      </c>
      <c r="G110" s="30">
        <f>IF('19. Sewer - Capex Input'!$I93=G$3,'19. Sewer - Capex Input'!$G93,IF(F110&gt;1,F110-1,0))</f>
        <v>57</v>
      </c>
      <c r="H110" s="30">
        <f>IF('19. Sewer - Capex Input'!$I93=H$3,'19. Sewer - Capex Input'!$G93,IF(G110&gt;1,G110-1,0))</f>
        <v>56</v>
      </c>
    </row>
    <row r="111" spans="2:8">
      <c r="B111" s="152">
        <f>'19. Sewer - Capex Input'!F94</f>
        <v>0</v>
      </c>
      <c r="D111" s="30">
        <f>IF('19. Sewer - Capex Input'!$I94=D$3,'19. Sewer - Capex Input'!$G94,IF(C111&gt;1,C111-1,0))</f>
        <v>0</v>
      </c>
      <c r="E111" s="30">
        <f>IF('19. Sewer - Capex Input'!$I94=E$3,'19. Sewer - Capex Input'!$G94,IF(D111&gt;1,D111-1,0))</f>
        <v>60</v>
      </c>
      <c r="F111" s="30">
        <f>IF('19. Sewer - Capex Input'!$I94=F$3,'19. Sewer - Capex Input'!$G94,IF(E111&gt;1,E111-1,0))</f>
        <v>59</v>
      </c>
      <c r="G111" s="30">
        <f>IF('19. Sewer - Capex Input'!$I94=G$3,'19. Sewer - Capex Input'!$G94,IF(F111&gt;1,F111-1,0))</f>
        <v>58</v>
      </c>
      <c r="H111" s="30">
        <f>IF('19. Sewer - Capex Input'!$I94=H$3,'19. Sewer - Capex Input'!$G94,IF(G111&gt;1,G111-1,0))</f>
        <v>57</v>
      </c>
    </row>
    <row r="112" spans="2:8">
      <c r="B112" s="152">
        <f>'19. Sewer - Capex Input'!F95</f>
        <v>0</v>
      </c>
      <c r="D112" s="30">
        <f>IF('19. Sewer - Capex Input'!$I95=D$3,'19. Sewer - Capex Input'!$G95,IF(C112&gt;1,C112-1,0))</f>
        <v>0</v>
      </c>
      <c r="E112" s="30">
        <f>IF('19. Sewer - Capex Input'!$I95=E$3,'19. Sewer - Capex Input'!$G95,IF(D112&gt;1,D112-1,0))</f>
        <v>0</v>
      </c>
      <c r="F112" s="30">
        <f>IF('19. Sewer - Capex Input'!$I95=F$3,'19. Sewer - Capex Input'!$G95,IF(E112&gt;1,E112-1,0))</f>
        <v>60</v>
      </c>
      <c r="G112" s="30">
        <f>IF('19. Sewer - Capex Input'!$I95=G$3,'19. Sewer - Capex Input'!$G95,IF(F112&gt;1,F112-1,0))</f>
        <v>59</v>
      </c>
      <c r="H112" s="30">
        <f>IF('19. Sewer - Capex Input'!$I95=H$3,'19. Sewer - Capex Input'!$G95,IF(G112&gt;1,G112-1,0))</f>
        <v>58</v>
      </c>
    </row>
    <row r="113" spans="2:8">
      <c r="B113" s="152">
        <f>'19. Sewer - Capex Input'!F96</f>
        <v>0</v>
      </c>
      <c r="D113" s="30">
        <f>IF('19. Sewer - Capex Input'!$I96=D$3,'19. Sewer - Capex Input'!$G96,IF(C113&gt;1,C113-1,0))</f>
        <v>60</v>
      </c>
      <c r="E113" s="30">
        <f>IF('19. Sewer - Capex Input'!$I96=E$3,'19. Sewer - Capex Input'!$G96,IF(D113&gt;1,D113-1,0))</f>
        <v>59</v>
      </c>
      <c r="F113" s="30">
        <f>IF('19. Sewer - Capex Input'!$I96=F$3,'19. Sewer - Capex Input'!$G96,IF(E113&gt;1,E113-1,0))</f>
        <v>58</v>
      </c>
      <c r="G113" s="30">
        <f>IF('19. Sewer - Capex Input'!$I96=G$3,'19. Sewer - Capex Input'!$G96,IF(F113&gt;1,F113-1,0))</f>
        <v>57</v>
      </c>
      <c r="H113" s="30">
        <f>IF('19. Sewer - Capex Input'!$I96=H$3,'19. Sewer - Capex Input'!$G96,IF(G113&gt;1,G113-1,0))</f>
        <v>56</v>
      </c>
    </row>
    <row r="114" spans="2:8">
      <c r="B114" s="152">
        <f>'19. Sewer - Capex Input'!F97</f>
        <v>0</v>
      </c>
      <c r="D114" s="30">
        <f>IF('19. Sewer - Capex Input'!$I97=D$3,'19. Sewer - Capex Input'!$G97,IF(C114&gt;1,C114-1,0))</f>
        <v>0</v>
      </c>
      <c r="E114" s="30">
        <f>IF('19. Sewer - Capex Input'!$I97=E$3,'19. Sewer - Capex Input'!$G97,IF(D114&gt;1,D114-1,0))</f>
        <v>60</v>
      </c>
      <c r="F114" s="30">
        <f>IF('19. Sewer - Capex Input'!$I97=F$3,'19. Sewer - Capex Input'!$G97,IF(E114&gt;1,E114-1,0))</f>
        <v>59</v>
      </c>
      <c r="G114" s="30">
        <f>IF('19. Sewer - Capex Input'!$I97=G$3,'19. Sewer - Capex Input'!$G97,IF(F114&gt;1,F114-1,0))</f>
        <v>58</v>
      </c>
      <c r="H114" s="30">
        <f>IF('19. Sewer - Capex Input'!$I97=H$3,'19. Sewer - Capex Input'!$G97,IF(G114&gt;1,G114-1,0))</f>
        <v>57</v>
      </c>
    </row>
    <row r="115" spans="2:8">
      <c r="B115" s="152">
        <f>'19. Sewer - Capex Input'!F98</f>
        <v>0</v>
      </c>
      <c r="D115" s="30">
        <f>IF('19. Sewer - Capex Input'!$I98=D$3,'19. Sewer - Capex Input'!$G98,IF(C115&gt;1,C115-1,0))</f>
        <v>0</v>
      </c>
      <c r="E115" s="30">
        <f>IF('19. Sewer - Capex Input'!$I98=E$3,'19. Sewer - Capex Input'!$G98,IF(D115&gt;1,D115-1,0))</f>
        <v>0</v>
      </c>
      <c r="F115" s="30">
        <f>IF('19. Sewer - Capex Input'!$I98=F$3,'19. Sewer - Capex Input'!$G98,IF(E115&gt;1,E115-1,0))</f>
        <v>0</v>
      </c>
      <c r="G115" s="30">
        <f>IF('19. Sewer - Capex Input'!$I98=G$3,'19. Sewer - Capex Input'!$G98,IF(F115&gt;1,F115-1,0))</f>
        <v>60</v>
      </c>
      <c r="H115" s="30">
        <f>IF('19. Sewer - Capex Input'!$I98=H$3,'19. Sewer - Capex Input'!$G98,IF(G115&gt;1,G115-1,0))</f>
        <v>59</v>
      </c>
    </row>
    <row r="116" spans="2:8">
      <c r="B116" s="152">
        <f>'19. Sewer - Capex Input'!F99</f>
        <v>0</v>
      </c>
      <c r="D116" s="30">
        <f>IF('19. Sewer - Capex Input'!$I99=D$3,'19. Sewer - Capex Input'!$G99,IF(C116&gt;1,C116-1,0))</f>
        <v>60</v>
      </c>
      <c r="E116" s="30">
        <f>IF('19. Sewer - Capex Input'!$I99=E$3,'19. Sewer - Capex Input'!$G99,IF(D116&gt;1,D116-1,0))</f>
        <v>59</v>
      </c>
      <c r="F116" s="30">
        <f>IF('19. Sewer - Capex Input'!$I99=F$3,'19. Sewer - Capex Input'!$G99,IF(E116&gt;1,E116-1,0))</f>
        <v>58</v>
      </c>
      <c r="G116" s="30">
        <f>IF('19. Sewer - Capex Input'!$I99=G$3,'19. Sewer - Capex Input'!$G99,IF(F116&gt;1,F116-1,0))</f>
        <v>57</v>
      </c>
      <c r="H116" s="30">
        <f>IF('19. Sewer - Capex Input'!$I99=H$3,'19. Sewer - Capex Input'!$G99,IF(G116&gt;1,G116-1,0))</f>
        <v>56</v>
      </c>
    </row>
    <row r="117" spans="2:8">
      <c r="B117" s="152">
        <f>'19. Sewer - Capex Input'!F100</f>
        <v>0</v>
      </c>
      <c r="D117" s="30">
        <f>IF('19. Sewer - Capex Input'!$I100=D$3,'19. Sewer - Capex Input'!$G100,IF(C117&gt;1,C117-1,0))</f>
        <v>60</v>
      </c>
      <c r="E117" s="30">
        <f>IF('19. Sewer - Capex Input'!$I100=E$3,'19. Sewer - Capex Input'!$G100,IF(D117&gt;1,D117-1,0))</f>
        <v>59</v>
      </c>
      <c r="F117" s="30">
        <f>IF('19. Sewer - Capex Input'!$I100=F$3,'19. Sewer - Capex Input'!$G100,IF(E117&gt;1,E117-1,0))</f>
        <v>58</v>
      </c>
      <c r="G117" s="30">
        <f>IF('19. Sewer - Capex Input'!$I100=G$3,'19. Sewer - Capex Input'!$G100,IF(F117&gt;1,F117-1,0))</f>
        <v>57</v>
      </c>
      <c r="H117" s="30">
        <f>IF('19. Sewer - Capex Input'!$I100=H$3,'19. Sewer - Capex Input'!$G100,IF(G117&gt;1,G117-1,0))</f>
        <v>56</v>
      </c>
    </row>
    <row r="118" spans="2:8">
      <c r="B118" s="152">
        <f>'19. Sewer - Capex Input'!F101</f>
        <v>0</v>
      </c>
      <c r="D118" s="30">
        <f>IF('19. Sewer - Capex Input'!$I101=D$3,'19. Sewer - Capex Input'!$G101,IF(C118&gt;1,C118-1,0))</f>
        <v>80</v>
      </c>
      <c r="E118" s="30">
        <f>IF('19. Sewer - Capex Input'!$I101=E$3,'19. Sewer - Capex Input'!$G101,IF(D118&gt;1,D118-1,0))</f>
        <v>79</v>
      </c>
      <c r="F118" s="30">
        <f>IF('19. Sewer - Capex Input'!$I101=F$3,'19. Sewer - Capex Input'!$G101,IF(E118&gt;1,E118-1,0))</f>
        <v>78</v>
      </c>
      <c r="G118" s="30">
        <f>IF('19. Sewer - Capex Input'!$I101=G$3,'19. Sewer - Capex Input'!$G101,IF(F118&gt;1,F118-1,0))</f>
        <v>77</v>
      </c>
      <c r="H118" s="30">
        <f>IF('19. Sewer - Capex Input'!$I101=H$3,'19. Sewer - Capex Input'!$G101,IF(G118&gt;1,G118-1,0))</f>
        <v>76</v>
      </c>
    </row>
    <row r="119" spans="2:8">
      <c r="B119" s="152">
        <f>'19. Sewer - Capex Input'!F102</f>
        <v>0</v>
      </c>
      <c r="D119" s="30">
        <f>IF('19. Sewer - Capex Input'!$I102=D$3,'19. Sewer - Capex Input'!$G102,IF(C119&gt;1,C119-1,0))</f>
        <v>10</v>
      </c>
      <c r="E119" s="30">
        <f>IF('19. Sewer - Capex Input'!$I102=E$3,'19. Sewer - Capex Input'!$G102,IF(D119&gt;1,D119-1,0))</f>
        <v>9</v>
      </c>
      <c r="F119" s="30">
        <f>IF('19. Sewer - Capex Input'!$I102=F$3,'19. Sewer - Capex Input'!$G102,IF(E119&gt;1,E119-1,0))</f>
        <v>8</v>
      </c>
      <c r="G119" s="30">
        <f>IF('19. Sewer - Capex Input'!$I102=G$3,'19. Sewer - Capex Input'!$G102,IF(F119&gt;1,F119-1,0))</f>
        <v>7</v>
      </c>
      <c r="H119" s="30">
        <f>IF('19. Sewer - Capex Input'!$I102=H$3,'19. Sewer - Capex Input'!$G102,IF(G119&gt;1,G119-1,0))</f>
        <v>6</v>
      </c>
    </row>
    <row r="120" spans="2:8">
      <c r="B120" s="152">
        <f>'19. Sewer - Capex Input'!F103</f>
        <v>0</v>
      </c>
      <c r="D120" s="30">
        <f>IF('19. Sewer - Capex Input'!$I103=D$3,'19. Sewer - Capex Input'!$G103,IF(C120&gt;1,C120-1,0))</f>
        <v>5</v>
      </c>
      <c r="E120" s="30">
        <f>IF('19. Sewer - Capex Input'!$I103=E$3,'19. Sewer - Capex Input'!$G103,IF(D120&gt;1,D120-1,0))</f>
        <v>4</v>
      </c>
      <c r="F120" s="30">
        <f>IF('19. Sewer - Capex Input'!$I103=F$3,'19. Sewer - Capex Input'!$G103,IF(E120&gt;1,E120-1,0))</f>
        <v>3</v>
      </c>
      <c r="G120" s="30">
        <f>IF('19. Sewer - Capex Input'!$I103=G$3,'19. Sewer - Capex Input'!$G103,IF(F120&gt;1,F120-1,0))</f>
        <v>2</v>
      </c>
      <c r="H120" s="30">
        <f>IF('19. Sewer - Capex Input'!$I103=H$3,'19. Sewer - Capex Input'!$G103,IF(G120&gt;1,G120-1,0))</f>
        <v>1</v>
      </c>
    </row>
    <row r="121" spans="2:8">
      <c r="B121" s="152">
        <f>'19. Sewer - Capex Input'!F104</f>
        <v>0</v>
      </c>
      <c r="D121" s="30">
        <f>IF('19. Sewer - Capex Input'!$I104=D$3,'19. Sewer - Capex Input'!$G104,IF(C121&gt;1,C121-1,0))</f>
        <v>0</v>
      </c>
      <c r="E121" s="30">
        <f>IF('19. Sewer - Capex Input'!$I104=E$3,'19. Sewer - Capex Input'!$G104,IF(D121&gt;1,D121-1,0))</f>
        <v>15</v>
      </c>
      <c r="F121" s="30">
        <f>IF('19. Sewer - Capex Input'!$I104=F$3,'19. Sewer - Capex Input'!$G104,IF(E121&gt;1,E121-1,0))</f>
        <v>14</v>
      </c>
      <c r="G121" s="30">
        <f>IF('19. Sewer - Capex Input'!$I104=G$3,'19. Sewer - Capex Input'!$G104,IF(F121&gt;1,F121-1,0))</f>
        <v>13</v>
      </c>
      <c r="H121" s="30">
        <f>IF('19. Sewer - Capex Input'!$I104=H$3,'19. Sewer - Capex Input'!$G104,IF(G121&gt;1,G121-1,0))</f>
        <v>12</v>
      </c>
    </row>
    <row r="122" spans="2:8">
      <c r="B122" s="152">
        <f>'19. Sewer - Capex Input'!F105</f>
        <v>0</v>
      </c>
      <c r="D122" s="30">
        <f>IF('19. Sewer - Capex Input'!$I105=D$3,'19. Sewer - Capex Input'!$G105,IF(C122&gt;1,C122-1,0))</f>
        <v>5</v>
      </c>
      <c r="E122" s="30">
        <f>IF('19. Sewer - Capex Input'!$I105=E$3,'19. Sewer - Capex Input'!$G105,IF(D122&gt;1,D122-1,0))</f>
        <v>4</v>
      </c>
      <c r="F122" s="30">
        <f>IF('19. Sewer - Capex Input'!$I105=F$3,'19. Sewer - Capex Input'!$G105,IF(E122&gt;1,E122-1,0))</f>
        <v>3</v>
      </c>
      <c r="G122" s="30">
        <f>IF('19. Sewer - Capex Input'!$I105=G$3,'19. Sewer - Capex Input'!$G105,IF(F122&gt;1,F122-1,0))</f>
        <v>2</v>
      </c>
      <c r="H122" s="30">
        <f>IF('19. Sewer - Capex Input'!$I105=H$3,'19. Sewer - Capex Input'!$G105,IF(G122&gt;1,G122-1,0))</f>
        <v>1</v>
      </c>
    </row>
    <row r="123" spans="2:8">
      <c r="B123" s="152">
        <f>'19. Sewer - Capex Input'!F106</f>
        <v>0</v>
      </c>
      <c r="D123" s="30">
        <f>IF('19. Sewer - Capex Input'!$I106=D$3,'19. Sewer - Capex Input'!$G106,IF(C123&gt;1,C123-1,0))</f>
        <v>0</v>
      </c>
      <c r="E123" s="30">
        <f>IF('19. Sewer - Capex Input'!$I106=E$3,'19. Sewer - Capex Input'!$G106,IF(D123&gt;1,D123-1,0))</f>
        <v>5</v>
      </c>
      <c r="F123" s="30">
        <f>IF('19. Sewer - Capex Input'!$I106=F$3,'19. Sewer - Capex Input'!$G106,IF(E123&gt;1,E123-1,0))</f>
        <v>4</v>
      </c>
      <c r="G123" s="30">
        <f>IF('19. Sewer - Capex Input'!$I106=G$3,'19. Sewer - Capex Input'!$G106,IF(F123&gt;1,F123-1,0))</f>
        <v>3</v>
      </c>
      <c r="H123" s="30">
        <f>IF('19. Sewer - Capex Input'!$I106=H$3,'19. Sewer - Capex Input'!$G106,IF(G123&gt;1,G123-1,0))</f>
        <v>2</v>
      </c>
    </row>
    <row r="124" spans="2:8">
      <c r="B124" s="152">
        <f>'19. Sewer - Capex Input'!F107</f>
        <v>0</v>
      </c>
      <c r="D124" s="30">
        <f>IF('19. Sewer - Capex Input'!$I107=D$3,'19. Sewer - Capex Input'!$G107,IF(C124&gt;1,C124-1,0))</f>
        <v>0</v>
      </c>
      <c r="E124" s="30">
        <f>IF('19. Sewer - Capex Input'!$I107=E$3,'19. Sewer - Capex Input'!$G107,IF(D124&gt;1,D124-1,0))</f>
        <v>0</v>
      </c>
      <c r="F124" s="30">
        <f>IF('19. Sewer - Capex Input'!$I107=F$3,'19. Sewer - Capex Input'!$G107,IF(E124&gt;1,E124-1,0))</f>
        <v>5</v>
      </c>
      <c r="G124" s="30">
        <f>IF('19. Sewer - Capex Input'!$I107=G$3,'19. Sewer - Capex Input'!$G107,IF(F124&gt;1,F124-1,0))</f>
        <v>4</v>
      </c>
      <c r="H124" s="30">
        <f>IF('19. Sewer - Capex Input'!$I107=H$3,'19. Sewer - Capex Input'!$G107,IF(G124&gt;1,G124-1,0))</f>
        <v>3</v>
      </c>
    </row>
    <row r="125" spans="2:8">
      <c r="B125" s="152">
        <f>'19. Sewer - Capex Input'!F108</f>
        <v>0</v>
      </c>
      <c r="D125" s="30">
        <f>IF('19. Sewer - Capex Input'!$I108=D$3,'19. Sewer - Capex Input'!$G108,IF(C125&gt;1,C125-1,0))</f>
        <v>0</v>
      </c>
      <c r="E125" s="30">
        <f>IF('19. Sewer - Capex Input'!$I108=E$3,'19. Sewer - Capex Input'!$G108,IF(D125&gt;1,D125-1,0))</f>
        <v>0</v>
      </c>
      <c r="F125" s="30">
        <f>IF('19. Sewer - Capex Input'!$I108=F$3,'19. Sewer - Capex Input'!$G108,IF(E125&gt;1,E125-1,0))</f>
        <v>0</v>
      </c>
      <c r="G125" s="30">
        <f>IF('19. Sewer - Capex Input'!$I108=G$3,'19. Sewer - Capex Input'!$G108,IF(F125&gt;1,F125-1,0))</f>
        <v>5</v>
      </c>
      <c r="H125" s="30">
        <f>IF('19. Sewer - Capex Input'!$I108=H$3,'19. Sewer - Capex Input'!$G108,IF(G125&gt;1,G125-1,0))</f>
        <v>4</v>
      </c>
    </row>
    <row r="126" spans="2:8">
      <c r="B126" s="152">
        <f>'19. Sewer - Capex Input'!F109</f>
        <v>0</v>
      </c>
      <c r="D126" s="30">
        <f>IF('19. Sewer - Capex Input'!$I109=D$3,'19. Sewer - Capex Input'!$G109,IF(C126&gt;1,C126-1,0))</f>
        <v>0</v>
      </c>
      <c r="E126" s="30">
        <f>IF('19. Sewer - Capex Input'!$I109=E$3,'19. Sewer - Capex Input'!$G109,IF(D126&gt;1,D126-1,0))</f>
        <v>0</v>
      </c>
      <c r="F126" s="30">
        <f>IF('19. Sewer - Capex Input'!$I109=F$3,'19. Sewer - Capex Input'!$G109,IF(E126&gt;1,E126-1,0))</f>
        <v>0</v>
      </c>
      <c r="G126" s="30">
        <f>IF('19. Sewer - Capex Input'!$I109=G$3,'19. Sewer - Capex Input'!$G109,IF(F126&gt;1,F126-1,0))</f>
        <v>0</v>
      </c>
      <c r="H126" s="30">
        <f>IF('19. Sewer - Capex Input'!$I109=H$3,'19. Sewer - Capex Input'!$G109,IF(G126&gt;1,G126-1,0))</f>
        <v>5</v>
      </c>
    </row>
    <row r="127" spans="2:8">
      <c r="B127" s="152">
        <f>'19. Sewer - Capex Input'!F110</f>
        <v>0</v>
      </c>
      <c r="D127" s="30">
        <f>IF('19. Sewer - Capex Input'!$I110=D$3,'19. Sewer - Capex Input'!$G110,IF(C127&gt;1,C127-1,0))</f>
        <v>5</v>
      </c>
      <c r="E127" s="30">
        <f>IF('19. Sewer - Capex Input'!$I110=E$3,'19. Sewer - Capex Input'!$G110,IF(D127&gt;1,D127-1,0))</f>
        <v>4</v>
      </c>
      <c r="F127" s="30">
        <f>IF('19. Sewer - Capex Input'!$I110=F$3,'19. Sewer - Capex Input'!$G110,IF(E127&gt;1,E127-1,0))</f>
        <v>3</v>
      </c>
      <c r="G127" s="30">
        <f>IF('19. Sewer - Capex Input'!$I110=G$3,'19. Sewer - Capex Input'!$G110,IF(F127&gt;1,F127-1,0))</f>
        <v>2</v>
      </c>
      <c r="H127" s="30">
        <f>IF('19. Sewer - Capex Input'!$I110=H$3,'19. Sewer - Capex Input'!$G110,IF(G127&gt;1,G127-1,0))</f>
        <v>1</v>
      </c>
    </row>
    <row r="128" spans="2:8">
      <c r="B128" s="152">
        <f>'19. Sewer - Capex Input'!F111</f>
        <v>0</v>
      </c>
      <c r="D128" s="30">
        <f>IF('19. Sewer - Capex Input'!$I111=D$3,'19. Sewer - Capex Input'!$G111,IF(C128&gt;1,C128-1,0))</f>
        <v>0</v>
      </c>
      <c r="E128" s="30">
        <f>IF('19. Sewer - Capex Input'!$I111=E$3,'19. Sewer - Capex Input'!$G111,IF(D128&gt;1,D128-1,0))</f>
        <v>40</v>
      </c>
      <c r="F128" s="30">
        <f>IF('19. Sewer - Capex Input'!$I111=F$3,'19. Sewer - Capex Input'!$G111,IF(E128&gt;1,E128-1,0))</f>
        <v>39</v>
      </c>
      <c r="G128" s="30">
        <f>IF('19. Sewer - Capex Input'!$I111=G$3,'19. Sewer - Capex Input'!$G111,IF(F128&gt;1,F128-1,0))</f>
        <v>38</v>
      </c>
      <c r="H128" s="30">
        <f>IF('19. Sewer - Capex Input'!$I111=H$3,'19. Sewer - Capex Input'!$G111,IF(G128&gt;1,G128-1,0))</f>
        <v>37</v>
      </c>
    </row>
    <row r="129" spans="2:8">
      <c r="B129" s="152">
        <f>'19. Sewer - Capex Input'!F112</f>
        <v>0</v>
      </c>
      <c r="D129" s="30">
        <f>IF('19. Sewer - Capex Input'!$I112=D$3,'19. Sewer - Capex Input'!$G112,IF(C129&gt;1,C129-1,0))</f>
        <v>0</v>
      </c>
      <c r="E129" s="30">
        <f>IF('19. Sewer - Capex Input'!$I112=E$3,'19. Sewer - Capex Input'!$G112,IF(D129&gt;1,D129-1,0))</f>
        <v>40</v>
      </c>
      <c r="F129" s="30">
        <f>IF('19. Sewer - Capex Input'!$I112=F$3,'19. Sewer - Capex Input'!$G112,IF(E129&gt;1,E129-1,0))</f>
        <v>39</v>
      </c>
      <c r="G129" s="30">
        <f>IF('19. Sewer - Capex Input'!$I112=G$3,'19. Sewer - Capex Input'!$G112,IF(F129&gt;1,F129-1,0))</f>
        <v>38</v>
      </c>
      <c r="H129" s="30">
        <f>IF('19. Sewer - Capex Input'!$I112=H$3,'19. Sewer - Capex Input'!$G112,IF(G129&gt;1,G129-1,0))</f>
        <v>37</v>
      </c>
    </row>
    <row r="130" spans="2:8">
      <c r="B130" s="152">
        <f>'19. Sewer - Capex Input'!F113</f>
        <v>0</v>
      </c>
      <c r="D130" s="30">
        <f>IF('19. Sewer - Capex Input'!$I113=D$3,'19. Sewer - Capex Input'!$G113,IF(C130&gt;1,C130-1,0))</f>
        <v>0</v>
      </c>
      <c r="E130" s="30">
        <f>IF('19. Sewer - Capex Input'!$I113=E$3,'19. Sewer - Capex Input'!$G113,IF(D130&gt;1,D130-1,0))</f>
        <v>40</v>
      </c>
      <c r="F130" s="30">
        <f>IF('19. Sewer - Capex Input'!$I113=F$3,'19. Sewer - Capex Input'!$G113,IF(E130&gt;1,E130-1,0))</f>
        <v>39</v>
      </c>
      <c r="G130" s="30">
        <f>IF('19. Sewer - Capex Input'!$I113=G$3,'19. Sewer - Capex Input'!$G113,IF(F130&gt;1,F130-1,0))</f>
        <v>38</v>
      </c>
      <c r="H130" s="30">
        <f>IF('19. Sewer - Capex Input'!$I113=H$3,'19. Sewer - Capex Input'!$G113,IF(G130&gt;1,G130-1,0))</f>
        <v>37</v>
      </c>
    </row>
    <row r="131" spans="2:8">
      <c r="B131" s="152">
        <f>'19. Sewer - Capex Input'!F114</f>
        <v>0</v>
      </c>
      <c r="D131" s="30">
        <f>IF('19. Sewer - Capex Input'!$I114=D$3,'19. Sewer - Capex Input'!$G114,IF(C131&gt;1,C131-1,0))</f>
        <v>0</v>
      </c>
      <c r="E131" s="30">
        <f>IF('19. Sewer - Capex Input'!$I114=E$3,'19. Sewer - Capex Input'!$G114,IF(D131&gt;1,D131-1,0))</f>
        <v>40</v>
      </c>
      <c r="F131" s="30">
        <f>IF('19. Sewer - Capex Input'!$I114=F$3,'19. Sewer - Capex Input'!$G114,IF(E131&gt;1,E131-1,0))</f>
        <v>39</v>
      </c>
      <c r="G131" s="30">
        <f>IF('19. Sewer - Capex Input'!$I114=G$3,'19. Sewer - Capex Input'!$G114,IF(F131&gt;1,F131-1,0))</f>
        <v>38</v>
      </c>
      <c r="H131" s="30">
        <f>IF('19. Sewer - Capex Input'!$I114=H$3,'19. Sewer - Capex Input'!$G114,IF(G131&gt;1,G131-1,0))</f>
        <v>37</v>
      </c>
    </row>
    <row r="132" spans="2:8">
      <c r="B132" s="152">
        <f>'19. Sewer - Capex Input'!F115</f>
        <v>0</v>
      </c>
      <c r="D132" s="30">
        <f>IF('19. Sewer - Capex Input'!$I115=D$3,'19. Sewer - Capex Input'!$G115,IF(C132&gt;1,C132-1,0))</f>
        <v>0</v>
      </c>
      <c r="E132" s="30">
        <f>IF('19. Sewer - Capex Input'!$I115=E$3,'19. Sewer - Capex Input'!$G115,IF(D132&gt;1,D132-1,0))</f>
        <v>40</v>
      </c>
      <c r="F132" s="30">
        <f>IF('19. Sewer - Capex Input'!$I115=F$3,'19. Sewer - Capex Input'!$G115,IF(E132&gt;1,E132-1,0))</f>
        <v>39</v>
      </c>
      <c r="G132" s="30">
        <f>IF('19. Sewer - Capex Input'!$I115=G$3,'19. Sewer - Capex Input'!$G115,IF(F132&gt;1,F132-1,0))</f>
        <v>38</v>
      </c>
      <c r="H132" s="30">
        <f>IF('19. Sewer - Capex Input'!$I115=H$3,'19. Sewer - Capex Input'!$G115,IF(G132&gt;1,G132-1,0))</f>
        <v>37</v>
      </c>
    </row>
    <row r="133" spans="2:8">
      <c r="B133" s="152">
        <f>'19. Sewer - Capex Input'!F116</f>
        <v>0</v>
      </c>
      <c r="D133" s="30">
        <f>IF('19. Sewer - Capex Input'!$I116=D$3,'19. Sewer - Capex Input'!$G116,IF(C133&gt;1,C133-1,0))</f>
        <v>0</v>
      </c>
      <c r="E133" s="30">
        <f>IF('19. Sewer - Capex Input'!$I116=E$3,'19. Sewer - Capex Input'!$G116,IF(D133&gt;1,D133-1,0))</f>
        <v>40</v>
      </c>
      <c r="F133" s="30">
        <f>IF('19. Sewer - Capex Input'!$I116=F$3,'19. Sewer - Capex Input'!$G116,IF(E133&gt;1,E133-1,0))</f>
        <v>39</v>
      </c>
      <c r="G133" s="30">
        <f>IF('19. Sewer - Capex Input'!$I116=G$3,'19. Sewer - Capex Input'!$G116,IF(F133&gt;1,F133-1,0))</f>
        <v>38</v>
      </c>
      <c r="H133" s="30">
        <f>IF('19. Sewer - Capex Input'!$I116=H$3,'19. Sewer - Capex Input'!$G116,IF(G133&gt;1,G133-1,0))</f>
        <v>37</v>
      </c>
    </row>
    <row r="134" spans="2:8">
      <c r="B134" s="152">
        <f>'19. Sewer - Capex Input'!F117</f>
        <v>0</v>
      </c>
      <c r="D134" s="30">
        <f>IF('19. Sewer - Capex Input'!$I117=D$3,'19. Sewer - Capex Input'!$G117,IF(C134&gt;1,C134-1,0))</f>
        <v>80</v>
      </c>
      <c r="E134" s="30">
        <f>IF('19. Sewer - Capex Input'!$I117=E$3,'19. Sewer - Capex Input'!$G117,IF(D134&gt;1,D134-1,0))</f>
        <v>79</v>
      </c>
      <c r="F134" s="30">
        <f>IF('19. Sewer - Capex Input'!$I117=F$3,'19. Sewer - Capex Input'!$G117,IF(E134&gt;1,E134-1,0))</f>
        <v>78</v>
      </c>
      <c r="G134" s="30">
        <f>IF('19. Sewer - Capex Input'!$I117=G$3,'19. Sewer - Capex Input'!$G117,IF(F134&gt;1,F134-1,0))</f>
        <v>77</v>
      </c>
      <c r="H134" s="30">
        <f>IF('19. Sewer - Capex Input'!$I117=H$3,'19. Sewer - Capex Input'!$G117,IF(G134&gt;1,G134-1,0))</f>
        <v>76</v>
      </c>
    </row>
    <row r="135" spans="2:8">
      <c r="B135" s="152">
        <f>'19. Sewer - Capex Input'!F118</f>
        <v>0</v>
      </c>
      <c r="D135" s="30">
        <f>IF('19. Sewer - Capex Input'!$I118=D$3,'19. Sewer - Capex Input'!$G118,IF(C135&gt;1,C135-1,0))</f>
        <v>0</v>
      </c>
      <c r="E135" s="30">
        <f>IF('19. Sewer - Capex Input'!$I118=E$3,'19. Sewer - Capex Input'!$G118,IF(D135&gt;1,D135-1,0))</f>
        <v>5</v>
      </c>
      <c r="F135" s="30">
        <f>IF('19. Sewer - Capex Input'!$I118=F$3,'19. Sewer - Capex Input'!$G118,IF(E135&gt;1,E135-1,0))</f>
        <v>4</v>
      </c>
      <c r="G135" s="30">
        <f>IF('19. Sewer - Capex Input'!$I118=G$3,'19. Sewer - Capex Input'!$G118,IF(F135&gt;1,F135-1,0))</f>
        <v>3</v>
      </c>
      <c r="H135" s="30">
        <f>IF('19. Sewer - Capex Input'!$I118=H$3,'19. Sewer - Capex Input'!$G118,IF(G135&gt;1,G135-1,0))</f>
        <v>2</v>
      </c>
    </row>
    <row r="136" spans="2:8">
      <c r="B136" s="152">
        <f>'19. Sewer - Capex Input'!F119</f>
        <v>0</v>
      </c>
      <c r="D136" s="30">
        <f>IF('19. Sewer - Capex Input'!$I119=D$3,'19. Sewer - Capex Input'!$G119,IF(C136&gt;1,C136-1,0))</f>
        <v>20</v>
      </c>
      <c r="E136" s="30">
        <f>IF('19. Sewer - Capex Input'!$I119=E$3,'19. Sewer - Capex Input'!$G119,IF(D136&gt;1,D136-1,0))</f>
        <v>19</v>
      </c>
      <c r="F136" s="30">
        <f>IF('19. Sewer - Capex Input'!$I119=F$3,'19. Sewer - Capex Input'!$G119,IF(E136&gt;1,E136-1,0))</f>
        <v>18</v>
      </c>
      <c r="G136" s="30">
        <f>IF('19. Sewer - Capex Input'!$I119=G$3,'19. Sewer - Capex Input'!$G119,IF(F136&gt;1,F136-1,0))</f>
        <v>17</v>
      </c>
      <c r="H136" s="30">
        <f>IF('19. Sewer - Capex Input'!$I119=H$3,'19. Sewer - Capex Input'!$G119,IF(G136&gt;1,G136-1,0))</f>
        <v>16</v>
      </c>
    </row>
    <row r="137" spans="2:8">
      <c r="B137" s="152">
        <f>'19. Sewer - Capex Input'!F120</f>
        <v>0</v>
      </c>
      <c r="D137" s="30">
        <f>IF('19. Sewer - Capex Input'!$I120=D$3,'19. Sewer - Capex Input'!$G120,IF(C137&gt;1,C137-1,0))</f>
        <v>80</v>
      </c>
      <c r="E137" s="30">
        <f>IF('19. Sewer - Capex Input'!$I120=E$3,'19. Sewer - Capex Input'!$G120,IF(D137&gt;1,D137-1,0))</f>
        <v>79</v>
      </c>
      <c r="F137" s="30">
        <f>IF('19. Sewer - Capex Input'!$I120=F$3,'19. Sewer - Capex Input'!$G120,IF(E137&gt;1,E137-1,0))</f>
        <v>78</v>
      </c>
      <c r="G137" s="30">
        <f>IF('19. Sewer - Capex Input'!$I120=G$3,'19. Sewer - Capex Input'!$G120,IF(F137&gt;1,F137-1,0))</f>
        <v>77</v>
      </c>
      <c r="H137" s="30">
        <f>IF('19. Sewer - Capex Input'!$I120=H$3,'19. Sewer - Capex Input'!$G120,IF(G137&gt;1,G137-1,0))</f>
        <v>76</v>
      </c>
    </row>
    <row r="138" spans="2:8">
      <c r="B138" s="152">
        <f>'19. Sewer - Capex Input'!F121</f>
        <v>0</v>
      </c>
      <c r="D138" s="30">
        <f>IF('19. Sewer - Capex Input'!$I121=D$3,'19. Sewer - Capex Input'!$G121,IF(C138&gt;1,C138-1,0))</f>
        <v>40</v>
      </c>
      <c r="E138" s="30">
        <f>IF('19. Sewer - Capex Input'!$I121=E$3,'19. Sewer - Capex Input'!$G121,IF(D138&gt;1,D138-1,0))</f>
        <v>39</v>
      </c>
      <c r="F138" s="30">
        <f>IF('19. Sewer - Capex Input'!$I121=F$3,'19. Sewer - Capex Input'!$G121,IF(E138&gt;1,E138-1,0))</f>
        <v>38</v>
      </c>
      <c r="G138" s="30">
        <f>IF('19. Sewer - Capex Input'!$I121=G$3,'19. Sewer - Capex Input'!$G121,IF(F138&gt;1,F138-1,0))</f>
        <v>37</v>
      </c>
      <c r="H138" s="30">
        <f>IF('19. Sewer - Capex Input'!$I121=H$3,'19. Sewer - Capex Input'!$G121,IF(G138&gt;1,G138-1,0))</f>
        <v>36</v>
      </c>
    </row>
    <row r="139" spans="2:8">
      <c r="B139" s="152">
        <f>'19. Sewer - Capex Input'!F122</f>
        <v>0</v>
      </c>
      <c r="D139" s="30">
        <f>IF('19. Sewer - Capex Input'!$I122=D$3,'19. Sewer - Capex Input'!$G122,IF(C139&gt;1,C139-1,0))</f>
        <v>60</v>
      </c>
      <c r="E139" s="30">
        <f>IF('19. Sewer - Capex Input'!$I122=E$3,'19. Sewer - Capex Input'!$G122,IF(D139&gt;1,D139-1,0))</f>
        <v>59</v>
      </c>
      <c r="F139" s="30">
        <f>IF('19. Sewer - Capex Input'!$I122=F$3,'19. Sewer - Capex Input'!$G122,IF(E139&gt;1,E139-1,0))</f>
        <v>58</v>
      </c>
      <c r="G139" s="30">
        <f>IF('19. Sewer - Capex Input'!$I122=G$3,'19. Sewer - Capex Input'!$G122,IF(F139&gt;1,F139-1,0))</f>
        <v>57</v>
      </c>
      <c r="H139" s="30">
        <f>IF('19. Sewer - Capex Input'!$I122=H$3,'19. Sewer - Capex Input'!$G122,IF(G139&gt;1,G139-1,0))</f>
        <v>56</v>
      </c>
    </row>
    <row r="140" spans="2:8">
      <c r="B140" s="152">
        <f>'19. Sewer - Capex Input'!F123</f>
        <v>0</v>
      </c>
      <c r="D140" s="30">
        <f>IF('19. Sewer - Capex Input'!$I123=D$3,'19. Sewer - Capex Input'!$G123,IF(C140&gt;1,C140-1,0))</f>
        <v>60</v>
      </c>
      <c r="E140" s="30">
        <f>IF('19. Sewer - Capex Input'!$I123=E$3,'19. Sewer - Capex Input'!$G123,IF(D140&gt;1,D140-1,0))</f>
        <v>59</v>
      </c>
      <c r="F140" s="30">
        <f>IF('19. Sewer - Capex Input'!$I123=F$3,'19. Sewer - Capex Input'!$G123,IF(E140&gt;1,E140-1,0))</f>
        <v>58</v>
      </c>
      <c r="G140" s="30">
        <f>IF('19. Sewer - Capex Input'!$I123=G$3,'19. Sewer - Capex Input'!$G123,IF(F140&gt;1,F140-1,0))</f>
        <v>57</v>
      </c>
      <c r="H140" s="30">
        <f>IF('19. Sewer - Capex Input'!$I123=H$3,'19. Sewer - Capex Input'!$G123,IF(G140&gt;1,G140-1,0))</f>
        <v>56</v>
      </c>
    </row>
    <row r="141" spans="2:8">
      <c r="B141" s="152">
        <f>'19. Sewer - Capex Input'!F124</f>
        <v>0</v>
      </c>
      <c r="D141" s="30">
        <f>IF('19. Sewer - Capex Input'!$I124=D$3,'19. Sewer - Capex Input'!$G124,IF(C141&gt;1,C141-1,0))</f>
        <v>0</v>
      </c>
      <c r="E141" s="30">
        <f>IF('19. Sewer - Capex Input'!$I124=E$3,'19. Sewer - Capex Input'!$G124,IF(D141&gt;1,D141-1,0))</f>
        <v>60</v>
      </c>
      <c r="F141" s="30">
        <f>IF('19. Sewer - Capex Input'!$I124=F$3,'19. Sewer - Capex Input'!$G124,IF(E141&gt;1,E141-1,0))</f>
        <v>59</v>
      </c>
      <c r="G141" s="30">
        <f>IF('19. Sewer - Capex Input'!$I124=G$3,'19. Sewer - Capex Input'!$G124,IF(F141&gt;1,F141-1,0))</f>
        <v>58</v>
      </c>
      <c r="H141" s="30">
        <f>IF('19. Sewer - Capex Input'!$I124=H$3,'19. Sewer - Capex Input'!$G124,IF(G141&gt;1,G141-1,0))</f>
        <v>57</v>
      </c>
    </row>
    <row r="142" spans="2:8">
      <c r="B142" s="152">
        <f>'19. Sewer - Capex Input'!F125</f>
        <v>0</v>
      </c>
      <c r="D142" s="30">
        <f>IF('19. Sewer - Capex Input'!$I125=D$3,'19. Sewer - Capex Input'!$G125,IF(C142&gt;1,C142-1,0))</f>
        <v>0</v>
      </c>
      <c r="E142" s="30">
        <f>IF('19. Sewer - Capex Input'!$I125=E$3,'19. Sewer - Capex Input'!$G125,IF(D142&gt;1,D142-1,0))</f>
        <v>0</v>
      </c>
      <c r="F142" s="30">
        <f>IF('19. Sewer - Capex Input'!$I125=F$3,'19. Sewer - Capex Input'!$G125,IF(E142&gt;1,E142-1,0))</f>
        <v>60</v>
      </c>
      <c r="G142" s="30">
        <f>IF('19. Sewer - Capex Input'!$I125=G$3,'19. Sewer - Capex Input'!$G125,IF(F142&gt;1,F142-1,0))</f>
        <v>59</v>
      </c>
      <c r="H142" s="30">
        <f>IF('19. Sewer - Capex Input'!$I125=H$3,'19. Sewer - Capex Input'!$G125,IF(G142&gt;1,G142-1,0))</f>
        <v>58</v>
      </c>
    </row>
    <row r="143" spans="2:8">
      <c r="B143" s="152">
        <f>'19. Sewer - Capex Input'!F126</f>
        <v>0</v>
      </c>
      <c r="D143" s="30">
        <f>IF('19. Sewer - Capex Input'!$I126=D$3,'19. Sewer - Capex Input'!$G126,IF(C143&gt;1,C143-1,0))</f>
        <v>0</v>
      </c>
      <c r="E143" s="30">
        <f>IF('19. Sewer - Capex Input'!$I126=E$3,'19. Sewer - Capex Input'!$G126,IF(D143&gt;1,D143-1,0))</f>
        <v>0</v>
      </c>
      <c r="F143" s="30">
        <f>IF('19. Sewer - Capex Input'!$I126=F$3,'19. Sewer - Capex Input'!$G126,IF(E143&gt;1,E143-1,0))</f>
        <v>0</v>
      </c>
      <c r="G143" s="30">
        <f>IF('19. Sewer - Capex Input'!$I126=G$3,'19. Sewer - Capex Input'!$G126,IF(F143&gt;1,F143-1,0))</f>
        <v>60</v>
      </c>
      <c r="H143" s="30">
        <f>IF('19. Sewer - Capex Input'!$I126=H$3,'19. Sewer - Capex Input'!$G126,IF(G143&gt;1,G143-1,0))</f>
        <v>59</v>
      </c>
    </row>
    <row r="144" spans="2:8">
      <c r="B144" s="152">
        <f>'19. Sewer - Capex Input'!F127</f>
        <v>0</v>
      </c>
      <c r="D144" s="30">
        <f>IF('19. Sewer - Capex Input'!$I127=D$3,'19. Sewer - Capex Input'!$G127,IF(C144&gt;1,C144-1,0))</f>
        <v>0</v>
      </c>
      <c r="E144" s="30">
        <f>IF('19. Sewer - Capex Input'!$I127=E$3,'19. Sewer - Capex Input'!$G127,IF(D144&gt;1,D144-1,0))</f>
        <v>0</v>
      </c>
      <c r="F144" s="30">
        <f>IF('19. Sewer - Capex Input'!$I127=F$3,'19. Sewer - Capex Input'!$G127,IF(E144&gt;1,E144-1,0))</f>
        <v>0</v>
      </c>
      <c r="G144" s="30">
        <f>IF('19. Sewer - Capex Input'!$I127=G$3,'19. Sewer - Capex Input'!$G127,IF(F144&gt;1,F144-1,0))</f>
        <v>0</v>
      </c>
      <c r="H144" s="30">
        <f>IF('19. Sewer - Capex Input'!$I127=H$3,'19. Sewer - Capex Input'!$G127,IF(G144&gt;1,G144-1,0))</f>
        <v>60</v>
      </c>
    </row>
    <row r="145" spans="2:8">
      <c r="B145" s="152">
        <f>'19. Sewer - Capex Input'!F128</f>
        <v>0</v>
      </c>
      <c r="D145" s="30">
        <f>IF('19. Sewer - Capex Input'!$I128=D$3,'19. Sewer - Capex Input'!$G128,IF(C145&gt;1,C145-1,0))</f>
        <v>40</v>
      </c>
      <c r="E145" s="30">
        <f>IF('19. Sewer - Capex Input'!$I128=E$3,'19. Sewer - Capex Input'!$G128,IF(D145&gt;1,D145-1,0))</f>
        <v>39</v>
      </c>
      <c r="F145" s="30">
        <f>IF('19. Sewer - Capex Input'!$I128=F$3,'19. Sewer - Capex Input'!$G128,IF(E145&gt;1,E145-1,0))</f>
        <v>38</v>
      </c>
      <c r="G145" s="30">
        <f>IF('19. Sewer - Capex Input'!$I128=G$3,'19. Sewer - Capex Input'!$G128,IF(F145&gt;1,F145-1,0))</f>
        <v>37</v>
      </c>
      <c r="H145" s="30">
        <f>IF('19. Sewer - Capex Input'!$I128=H$3,'19. Sewer - Capex Input'!$G128,IF(G145&gt;1,G145-1,0))</f>
        <v>36</v>
      </c>
    </row>
    <row r="146" spans="2:8">
      <c r="B146" s="152">
        <f>'19. Sewer - Capex Input'!F129</f>
        <v>0</v>
      </c>
      <c r="D146" s="30">
        <f>IF('19. Sewer - Capex Input'!$I129=D$3,'19. Sewer - Capex Input'!$G129,IF(C146&gt;1,C146-1,0))</f>
        <v>60</v>
      </c>
      <c r="E146" s="30">
        <f>IF('19. Sewer - Capex Input'!$I129=E$3,'19. Sewer - Capex Input'!$G129,IF(D146&gt;1,D146-1,0))</f>
        <v>59</v>
      </c>
      <c r="F146" s="30">
        <f>IF('19. Sewer - Capex Input'!$I129=F$3,'19. Sewer - Capex Input'!$G129,IF(E146&gt;1,E146-1,0))</f>
        <v>58</v>
      </c>
      <c r="G146" s="30">
        <f>IF('19. Sewer - Capex Input'!$I129=G$3,'19. Sewer - Capex Input'!$G129,IF(F146&gt;1,F146-1,0))</f>
        <v>57</v>
      </c>
      <c r="H146" s="30">
        <f>IF('19. Sewer - Capex Input'!$I129=H$3,'19. Sewer - Capex Input'!$G129,IF(G146&gt;1,G146-1,0))</f>
        <v>56</v>
      </c>
    </row>
    <row r="147" spans="2:8">
      <c r="B147" s="152">
        <f>'19. Sewer - Capex Input'!F130</f>
        <v>0</v>
      </c>
      <c r="D147" s="30">
        <f>IF('19. Sewer - Capex Input'!$I130=D$3,'19. Sewer - Capex Input'!$G130,IF(C147&gt;1,C147-1,0))</f>
        <v>0</v>
      </c>
      <c r="E147" s="30">
        <f>IF('19. Sewer - Capex Input'!$I130=E$3,'19. Sewer - Capex Input'!$G130,IF(D147&gt;1,D147-1,0))</f>
        <v>60</v>
      </c>
      <c r="F147" s="30">
        <f>IF('19. Sewer - Capex Input'!$I130=F$3,'19. Sewer - Capex Input'!$G130,IF(E147&gt;1,E147-1,0))</f>
        <v>59</v>
      </c>
      <c r="G147" s="30">
        <f>IF('19. Sewer - Capex Input'!$I130=G$3,'19. Sewer - Capex Input'!$G130,IF(F147&gt;1,F147-1,0))</f>
        <v>58</v>
      </c>
      <c r="H147" s="30">
        <f>IF('19. Sewer - Capex Input'!$I130=H$3,'19. Sewer - Capex Input'!$G130,IF(G147&gt;1,G147-1,0))</f>
        <v>57</v>
      </c>
    </row>
    <row r="148" spans="2:8">
      <c r="B148" s="152">
        <f>'19. Sewer - Capex Input'!F131</f>
        <v>0</v>
      </c>
      <c r="D148" s="30">
        <f>IF('19. Sewer - Capex Input'!$I131=D$3,'19. Sewer - Capex Input'!$G131,IF(C148&gt;1,C148-1,0))</f>
        <v>20</v>
      </c>
      <c r="E148" s="30">
        <f>IF('19. Sewer - Capex Input'!$I131=E$3,'19. Sewer - Capex Input'!$G131,IF(D148&gt;1,D148-1,0))</f>
        <v>19</v>
      </c>
      <c r="F148" s="30">
        <f>IF('19. Sewer - Capex Input'!$I131=F$3,'19. Sewer - Capex Input'!$G131,IF(E148&gt;1,E148-1,0))</f>
        <v>18</v>
      </c>
      <c r="G148" s="30">
        <f>IF('19. Sewer - Capex Input'!$I131=G$3,'19. Sewer - Capex Input'!$G131,IF(F148&gt;1,F148-1,0))</f>
        <v>17</v>
      </c>
      <c r="H148" s="30">
        <f>IF('19. Sewer - Capex Input'!$I131=H$3,'19. Sewer - Capex Input'!$G131,IF(G148&gt;1,G148-1,0))</f>
        <v>16</v>
      </c>
    </row>
    <row r="149" spans="2:8">
      <c r="B149" s="152">
        <f>'19. Sewer - Capex Input'!F132</f>
        <v>0</v>
      </c>
      <c r="D149" s="30">
        <f>IF('19. Sewer - Capex Input'!$I132=D$3,'19. Sewer - Capex Input'!$G132,IF(C149&gt;1,C149-1,0))</f>
        <v>0</v>
      </c>
      <c r="E149" s="30">
        <f>IF('19. Sewer - Capex Input'!$I132=E$3,'19. Sewer - Capex Input'!$G132,IF(D149&gt;1,D149-1,0))</f>
        <v>20</v>
      </c>
      <c r="F149" s="30">
        <f>IF('19. Sewer - Capex Input'!$I132=F$3,'19. Sewer - Capex Input'!$G132,IF(E149&gt;1,E149-1,0))</f>
        <v>19</v>
      </c>
      <c r="G149" s="30">
        <f>IF('19. Sewer - Capex Input'!$I132=G$3,'19. Sewer - Capex Input'!$G132,IF(F149&gt;1,F149-1,0))</f>
        <v>18</v>
      </c>
      <c r="H149" s="30">
        <f>IF('19. Sewer - Capex Input'!$I132=H$3,'19. Sewer - Capex Input'!$G132,IF(G149&gt;1,G149-1,0))</f>
        <v>17</v>
      </c>
    </row>
    <row r="150" spans="2:8">
      <c r="B150" s="152">
        <f>'19. Sewer - Capex Input'!F133</f>
        <v>0</v>
      </c>
      <c r="D150" s="30">
        <f>IF('19. Sewer - Capex Input'!$I133=D$3,'19. Sewer - Capex Input'!$G133,IF(C150&gt;1,C150-1,0))</f>
        <v>0</v>
      </c>
      <c r="E150" s="30">
        <f>IF('19. Sewer - Capex Input'!$I133=E$3,'19. Sewer - Capex Input'!$G133,IF(D150&gt;1,D150-1,0))</f>
        <v>0</v>
      </c>
      <c r="F150" s="30">
        <f>IF('19. Sewer - Capex Input'!$I133=F$3,'19. Sewer - Capex Input'!$G133,IF(E150&gt;1,E150-1,0))</f>
        <v>0</v>
      </c>
      <c r="G150" s="30">
        <f>IF('19. Sewer - Capex Input'!$I133=G$3,'19. Sewer - Capex Input'!$G133,IF(F150&gt;1,F150-1,0))</f>
        <v>0</v>
      </c>
      <c r="H150" s="30">
        <f>IF('19. Sewer - Capex Input'!$I133=H$3,'19. Sewer - Capex Input'!$G133,IF(G150&gt;1,G150-1,0))</f>
        <v>0</v>
      </c>
    </row>
    <row r="151" spans="2:8">
      <c r="B151" s="152">
        <f>'19. Sewer - Capex Input'!F134</f>
        <v>0</v>
      </c>
      <c r="D151" s="30">
        <f>IF('19. Sewer - Capex Input'!$I134=D$3,'19. Sewer - Capex Input'!$G134,IF(C151&gt;1,C151-1,0))</f>
        <v>20</v>
      </c>
      <c r="E151" s="30">
        <f>IF('19. Sewer - Capex Input'!$I134=E$3,'19. Sewer - Capex Input'!$G134,IF(D151&gt;1,D151-1,0))</f>
        <v>19</v>
      </c>
      <c r="F151" s="30">
        <f>IF('19. Sewer - Capex Input'!$I134=F$3,'19. Sewer - Capex Input'!$G134,IF(E151&gt;1,E151-1,0))</f>
        <v>18</v>
      </c>
      <c r="G151" s="30">
        <f>IF('19. Sewer - Capex Input'!$I134=G$3,'19. Sewer - Capex Input'!$G134,IF(F151&gt;1,F151-1,0))</f>
        <v>17</v>
      </c>
      <c r="H151" s="30">
        <f>IF('19. Sewer - Capex Input'!$I134=H$3,'19. Sewer - Capex Input'!$G134,IF(G151&gt;1,G151-1,0))</f>
        <v>16</v>
      </c>
    </row>
    <row r="152" spans="2:8">
      <c r="B152" s="152">
        <f>'19. Sewer - Capex Input'!F135</f>
        <v>0</v>
      </c>
      <c r="D152" s="30">
        <f>IF('19. Sewer - Capex Input'!$I135=D$3,'19. Sewer - Capex Input'!$G135,IF(C152&gt;1,C152-1,0))</f>
        <v>0</v>
      </c>
      <c r="E152" s="30">
        <f>IF('19. Sewer - Capex Input'!$I135=E$3,'19. Sewer - Capex Input'!$G135,IF(D152&gt;1,D152-1,0))</f>
        <v>20</v>
      </c>
      <c r="F152" s="30">
        <f>IF('19. Sewer - Capex Input'!$I135=F$3,'19. Sewer - Capex Input'!$G135,IF(E152&gt;1,E152-1,0))</f>
        <v>19</v>
      </c>
      <c r="G152" s="30">
        <f>IF('19. Sewer - Capex Input'!$I135=G$3,'19. Sewer - Capex Input'!$G135,IF(F152&gt;1,F152-1,0))</f>
        <v>18</v>
      </c>
      <c r="H152" s="30">
        <f>IF('19. Sewer - Capex Input'!$I135=H$3,'19. Sewer - Capex Input'!$G135,IF(G152&gt;1,G152-1,0))</f>
        <v>17</v>
      </c>
    </row>
    <row r="153" spans="2:8">
      <c r="B153" s="152">
        <f>'19. Sewer - Capex Input'!F136</f>
        <v>0</v>
      </c>
      <c r="D153" s="30">
        <f>IF('19. Sewer - Capex Input'!$I136=D$3,'19. Sewer - Capex Input'!$G136,IF(C153&gt;1,C153-1,0))</f>
        <v>0</v>
      </c>
      <c r="E153" s="30">
        <f>IF('19. Sewer - Capex Input'!$I136=E$3,'19. Sewer - Capex Input'!$G136,IF(D153&gt;1,D153-1,0))</f>
        <v>0</v>
      </c>
      <c r="F153" s="30">
        <f>IF('19. Sewer - Capex Input'!$I136=F$3,'19. Sewer - Capex Input'!$G136,IF(E153&gt;1,E153-1,0))</f>
        <v>20</v>
      </c>
      <c r="G153" s="30">
        <f>IF('19. Sewer - Capex Input'!$I136=G$3,'19. Sewer - Capex Input'!$G136,IF(F153&gt;1,F153-1,0))</f>
        <v>19</v>
      </c>
      <c r="H153" s="30">
        <f>IF('19. Sewer - Capex Input'!$I136=H$3,'19. Sewer - Capex Input'!$G136,IF(G153&gt;1,G153-1,0))</f>
        <v>18</v>
      </c>
    </row>
    <row r="154" spans="2:8">
      <c r="B154" s="152">
        <f>'19. Sewer - Capex Input'!F137</f>
        <v>0</v>
      </c>
      <c r="D154" s="30">
        <f>IF('19. Sewer - Capex Input'!$I137=D$3,'19. Sewer - Capex Input'!$G137,IF(C154&gt;1,C154-1,0))</f>
        <v>80</v>
      </c>
      <c r="E154" s="30">
        <f>IF('19. Sewer - Capex Input'!$I137=E$3,'19. Sewer - Capex Input'!$G137,IF(D154&gt;1,D154-1,0))</f>
        <v>79</v>
      </c>
      <c r="F154" s="30">
        <f>IF('19. Sewer - Capex Input'!$I137=F$3,'19. Sewer - Capex Input'!$G137,IF(E154&gt;1,E154-1,0))</f>
        <v>78</v>
      </c>
      <c r="G154" s="30">
        <f>IF('19. Sewer - Capex Input'!$I137=G$3,'19. Sewer - Capex Input'!$G137,IF(F154&gt;1,F154-1,0))</f>
        <v>77</v>
      </c>
      <c r="H154" s="30">
        <f>IF('19. Sewer - Capex Input'!$I137=H$3,'19. Sewer - Capex Input'!$G137,IF(G154&gt;1,G154-1,0))</f>
        <v>76</v>
      </c>
    </row>
    <row r="155" spans="2:8">
      <c r="B155" s="152">
        <f>'19. Sewer - Capex Input'!F138</f>
        <v>0</v>
      </c>
      <c r="D155" s="30">
        <f>IF('19. Sewer - Capex Input'!$I138=D$3,'19. Sewer - Capex Input'!$G138,IF(C155&gt;1,C155-1,0))</f>
        <v>20</v>
      </c>
      <c r="E155" s="30">
        <f>IF('19. Sewer - Capex Input'!$I138=E$3,'19. Sewer - Capex Input'!$G138,IF(D155&gt;1,D155-1,0))</f>
        <v>19</v>
      </c>
      <c r="F155" s="30">
        <f>IF('19. Sewer - Capex Input'!$I138=F$3,'19. Sewer - Capex Input'!$G138,IF(E155&gt;1,E155-1,0))</f>
        <v>18</v>
      </c>
      <c r="G155" s="30">
        <f>IF('19. Sewer - Capex Input'!$I138=G$3,'19. Sewer - Capex Input'!$G138,IF(F155&gt;1,F155-1,0))</f>
        <v>17</v>
      </c>
      <c r="H155" s="30">
        <f>IF('19. Sewer - Capex Input'!$I138=H$3,'19. Sewer - Capex Input'!$G138,IF(G155&gt;1,G155-1,0))</f>
        <v>16</v>
      </c>
    </row>
    <row r="156" spans="2:8">
      <c r="B156" s="152">
        <f>'19. Sewer - Capex Input'!F139</f>
        <v>0</v>
      </c>
      <c r="D156" s="30">
        <f>IF('19. Sewer - Capex Input'!$I139=D$3,'19. Sewer - Capex Input'!$G139,IF(C156&gt;1,C156-1,0))</f>
        <v>60</v>
      </c>
      <c r="E156" s="30">
        <f>IF('19. Sewer - Capex Input'!$I139=E$3,'19. Sewer - Capex Input'!$G139,IF(D156&gt;1,D156-1,0))</f>
        <v>59</v>
      </c>
      <c r="F156" s="30">
        <f>IF('19. Sewer - Capex Input'!$I139=F$3,'19. Sewer - Capex Input'!$G139,IF(E156&gt;1,E156-1,0))</f>
        <v>58</v>
      </c>
      <c r="G156" s="30">
        <f>IF('19. Sewer - Capex Input'!$I139=G$3,'19. Sewer - Capex Input'!$G139,IF(F156&gt;1,F156-1,0))</f>
        <v>57</v>
      </c>
      <c r="H156" s="30">
        <f>IF('19. Sewer - Capex Input'!$I139=H$3,'19. Sewer - Capex Input'!$G139,IF(G156&gt;1,G156-1,0))</f>
        <v>56</v>
      </c>
    </row>
    <row r="157" spans="2:8">
      <c r="B157" s="152">
        <f>'19. Sewer - Capex Input'!F140</f>
        <v>0</v>
      </c>
      <c r="D157" s="30">
        <f>IF('19. Sewer - Capex Input'!$I140=D$3,'19. Sewer - Capex Input'!$G140,IF(C157&gt;1,C157-1,0))</f>
        <v>0</v>
      </c>
      <c r="E157" s="30">
        <f>IF('19. Sewer - Capex Input'!$I140=E$3,'19. Sewer - Capex Input'!$G140,IF(D157&gt;1,D157-1,0))</f>
        <v>60</v>
      </c>
      <c r="F157" s="30">
        <f>IF('19. Sewer - Capex Input'!$I140=F$3,'19. Sewer - Capex Input'!$G140,IF(E157&gt;1,E157-1,0))</f>
        <v>59</v>
      </c>
      <c r="G157" s="30">
        <f>IF('19. Sewer - Capex Input'!$I140=G$3,'19. Sewer - Capex Input'!$G140,IF(F157&gt;1,F157-1,0))</f>
        <v>58</v>
      </c>
      <c r="H157" s="30">
        <f>IF('19. Sewer - Capex Input'!$I140=H$3,'19. Sewer - Capex Input'!$G140,IF(G157&gt;1,G157-1,0))</f>
        <v>57</v>
      </c>
    </row>
    <row r="158" spans="2:8">
      <c r="B158" s="152">
        <f>'19. Sewer - Capex Input'!F141</f>
        <v>0</v>
      </c>
      <c r="D158" s="30">
        <f>IF('19. Sewer - Capex Input'!$I141=D$3,'19. Sewer - Capex Input'!$G141,IF(C158&gt;1,C158-1,0))</f>
        <v>0</v>
      </c>
      <c r="E158" s="30">
        <f>IF('19. Sewer - Capex Input'!$I141=E$3,'19. Sewer - Capex Input'!$G141,IF(D158&gt;1,D158-1,0))</f>
        <v>0</v>
      </c>
      <c r="F158" s="30">
        <f>IF('19. Sewer - Capex Input'!$I141=F$3,'19. Sewer - Capex Input'!$G141,IF(E158&gt;1,E158-1,0))</f>
        <v>60</v>
      </c>
      <c r="G158" s="30">
        <f>IF('19. Sewer - Capex Input'!$I141=G$3,'19. Sewer - Capex Input'!$G141,IF(F158&gt;1,F158-1,0))</f>
        <v>59</v>
      </c>
      <c r="H158" s="30">
        <f>IF('19. Sewer - Capex Input'!$I141=H$3,'19. Sewer - Capex Input'!$G141,IF(G158&gt;1,G158-1,0))</f>
        <v>58</v>
      </c>
    </row>
    <row r="159" spans="2:8">
      <c r="B159" s="152">
        <f>'19. Sewer - Capex Input'!F142</f>
        <v>0</v>
      </c>
      <c r="D159" s="30">
        <f>IF('19. Sewer - Capex Input'!$I142=D$3,'19. Sewer - Capex Input'!$G142,IF(C159&gt;1,C159-1,0))</f>
        <v>60</v>
      </c>
      <c r="E159" s="30">
        <f>IF('19. Sewer - Capex Input'!$I142=E$3,'19. Sewer - Capex Input'!$G142,IF(D159&gt;1,D159-1,0))</f>
        <v>59</v>
      </c>
      <c r="F159" s="30">
        <f>IF('19. Sewer - Capex Input'!$I142=F$3,'19. Sewer - Capex Input'!$G142,IF(E159&gt;1,E159-1,0))</f>
        <v>58</v>
      </c>
      <c r="G159" s="30">
        <f>IF('19. Sewer - Capex Input'!$I142=G$3,'19. Sewer - Capex Input'!$G142,IF(F159&gt;1,F159-1,0))</f>
        <v>57</v>
      </c>
      <c r="H159" s="30">
        <f>IF('19. Sewer - Capex Input'!$I142=H$3,'19. Sewer - Capex Input'!$G142,IF(G159&gt;1,G159-1,0))</f>
        <v>56</v>
      </c>
    </row>
    <row r="160" spans="2:8">
      <c r="B160" s="152">
        <f>'19. Sewer - Capex Input'!F143</f>
        <v>0</v>
      </c>
      <c r="D160" s="30">
        <f>IF('19. Sewer - Capex Input'!$I143=D$3,'19. Sewer - Capex Input'!$G143,IF(C160&gt;1,C160-1,0))</f>
        <v>0</v>
      </c>
      <c r="E160" s="30">
        <f>IF('19. Sewer - Capex Input'!$I143=E$3,'19. Sewer - Capex Input'!$G143,IF(D160&gt;1,D160-1,0))</f>
        <v>60</v>
      </c>
      <c r="F160" s="30">
        <f>IF('19. Sewer - Capex Input'!$I143=F$3,'19. Sewer - Capex Input'!$G143,IF(E160&gt;1,E160-1,0))</f>
        <v>59</v>
      </c>
      <c r="G160" s="30">
        <f>IF('19. Sewer - Capex Input'!$I143=G$3,'19. Sewer - Capex Input'!$G143,IF(F160&gt;1,F160-1,0))</f>
        <v>58</v>
      </c>
      <c r="H160" s="30">
        <f>IF('19. Sewer - Capex Input'!$I143=H$3,'19. Sewer - Capex Input'!$G143,IF(G160&gt;1,G160-1,0))</f>
        <v>57</v>
      </c>
    </row>
    <row r="161" spans="2:8">
      <c r="B161" s="152">
        <f>'19. Sewer - Capex Input'!F144</f>
        <v>0</v>
      </c>
      <c r="D161" s="30">
        <f>IF('19. Sewer - Capex Input'!$I144=D$3,'19. Sewer - Capex Input'!$G144,IF(C161&gt;1,C161-1,0))</f>
        <v>0</v>
      </c>
      <c r="E161" s="30">
        <f>IF('19. Sewer - Capex Input'!$I144=E$3,'19. Sewer - Capex Input'!$G144,IF(D161&gt;1,D161-1,0))</f>
        <v>80</v>
      </c>
      <c r="F161" s="30">
        <f>IF('19. Sewer - Capex Input'!$I144=F$3,'19. Sewer - Capex Input'!$G144,IF(E161&gt;1,E161-1,0))</f>
        <v>79</v>
      </c>
      <c r="G161" s="30">
        <f>IF('19. Sewer - Capex Input'!$I144=G$3,'19. Sewer - Capex Input'!$G144,IF(F161&gt;1,F161-1,0))</f>
        <v>78</v>
      </c>
      <c r="H161" s="30">
        <f>IF('19. Sewer - Capex Input'!$I144=H$3,'19. Sewer - Capex Input'!$G144,IF(G161&gt;1,G161-1,0))</f>
        <v>77</v>
      </c>
    </row>
    <row r="162" spans="2:8">
      <c r="B162" s="152">
        <f>'19. Sewer - Capex Input'!F145</f>
        <v>0</v>
      </c>
      <c r="D162" s="30">
        <f>IF('19. Sewer - Capex Input'!$I145=D$3,'19. Sewer - Capex Input'!$G145,IF(C162&gt;1,C162-1,0))</f>
        <v>0</v>
      </c>
      <c r="E162" s="30">
        <f>IF('19. Sewer - Capex Input'!$I145=E$3,'19. Sewer - Capex Input'!$G145,IF(D162&gt;1,D162-1,0))</f>
        <v>0</v>
      </c>
      <c r="F162" s="30">
        <f>IF('19. Sewer - Capex Input'!$I145=F$3,'19. Sewer - Capex Input'!$G145,IF(E162&gt;1,E162-1,0))</f>
        <v>80</v>
      </c>
      <c r="G162" s="30">
        <f>IF('19. Sewer - Capex Input'!$I145=G$3,'19. Sewer - Capex Input'!$G145,IF(F162&gt;1,F162-1,0))</f>
        <v>79</v>
      </c>
      <c r="H162" s="30">
        <f>IF('19. Sewer - Capex Input'!$I145=H$3,'19. Sewer - Capex Input'!$G145,IF(G162&gt;1,G162-1,0))</f>
        <v>78</v>
      </c>
    </row>
    <row r="163" spans="2:8">
      <c r="B163" s="152">
        <f>'19. Sewer - Capex Input'!F146</f>
        <v>0</v>
      </c>
      <c r="D163" s="30">
        <f>IF('19. Sewer - Capex Input'!$I146=D$3,'19. Sewer - Capex Input'!$G146,IF(C163&gt;1,C163-1,0))</f>
        <v>0</v>
      </c>
      <c r="E163" s="30">
        <f>IF('19. Sewer - Capex Input'!$I146=E$3,'19. Sewer - Capex Input'!$G146,IF(D163&gt;1,D163-1,0))</f>
        <v>0</v>
      </c>
      <c r="F163" s="30">
        <f>IF('19. Sewer - Capex Input'!$I146=F$3,'19. Sewer - Capex Input'!$G146,IF(E163&gt;1,E163-1,0))</f>
        <v>0</v>
      </c>
      <c r="G163" s="30">
        <f>IF('19. Sewer - Capex Input'!$I146=G$3,'19. Sewer - Capex Input'!$G146,IF(F163&gt;1,F163-1,0))</f>
        <v>80</v>
      </c>
      <c r="H163" s="30">
        <f>IF('19. Sewer - Capex Input'!$I146=H$3,'19. Sewer - Capex Input'!$G146,IF(G163&gt;1,G163-1,0))</f>
        <v>79</v>
      </c>
    </row>
    <row r="164" spans="2:8">
      <c r="B164" s="152">
        <f>'19. Sewer - Capex Input'!F147</f>
        <v>0</v>
      </c>
      <c r="D164" s="30">
        <f>IF('19. Sewer - Capex Input'!$I147=D$3,'19. Sewer - Capex Input'!$G147,IF(C164&gt;1,C164-1,0))</f>
        <v>0</v>
      </c>
      <c r="E164" s="30">
        <f>IF('19. Sewer - Capex Input'!$I147=E$3,'19. Sewer - Capex Input'!$G147,IF(D164&gt;1,D164-1,0))</f>
        <v>10</v>
      </c>
      <c r="F164" s="30">
        <f>IF('19. Sewer - Capex Input'!$I147=F$3,'19. Sewer - Capex Input'!$G147,IF(E164&gt;1,E164-1,0))</f>
        <v>9</v>
      </c>
      <c r="G164" s="30">
        <f>IF('19. Sewer - Capex Input'!$I147=G$3,'19. Sewer - Capex Input'!$G147,IF(F164&gt;1,F164-1,0))</f>
        <v>8</v>
      </c>
      <c r="H164" s="30">
        <f>IF('19. Sewer - Capex Input'!$I147=H$3,'19. Sewer - Capex Input'!$G147,IF(G164&gt;1,G164-1,0))</f>
        <v>7</v>
      </c>
    </row>
    <row r="165" spans="2:8">
      <c r="B165" s="152">
        <f>'19. Sewer - Capex Input'!F148</f>
        <v>0</v>
      </c>
      <c r="D165" s="30">
        <f>IF('19. Sewer - Capex Input'!$I148=D$3,'19. Sewer - Capex Input'!$G148,IF(C165&gt;1,C165-1,0))</f>
        <v>0</v>
      </c>
      <c r="E165" s="30">
        <f>IF('19. Sewer - Capex Input'!$I148=E$3,'19. Sewer - Capex Input'!$G148,IF(D165&gt;1,D165-1,0))</f>
        <v>40</v>
      </c>
      <c r="F165" s="30">
        <f>IF('19. Sewer - Capex Input'!$I148=F$3,'19. Sewer - Capex Input'!$G148,IF(E165&gt;1,E165-1,0))</f>
        <v>39</v>
      </c>
      <c r="G165" s="30">
        <f>IF('19. Sewer - Capex Input'!$I148=G$3,'19. Sewer - Capex Input'!$G148,IF(F165&gt;1,F165-1,0))</f>
        <v>38</v>
      </c>
      <c r="H165" s="30">
        <f>IF('19. Sewer - Capex Input'!$I148=H$3,'19. Sewer - Capex Input'!$G148,IF(G165&gt;1,G165-1,0))</f>
        <v>37</v>
      </c>
    </row>
    <row r="166" spans="2:8">
      <c r="B166" s="152" t="str">
        <f>'19. Sewer - Capex Input'!F149</f>
        <v>Carndo Year 4 Reduction</v>
      </c>
      <c r="D166" s="30">
        <f>IF('19. Sewer - Capex Input'!$I149=D$3,'19. Sewer - Capex Input'!$G149,IF(C166&gt;1,C166-1,0))</f>
        <v>0</v>
      </c>
      <c r="E166" s="30">
        <f>IF('19. Sewer - Capex Input'!$I149=E$3,'19. Sewer - Capex Input'!$G149,IF(D166&gt;1,D166-1,0))</f>
        <v>0</v>
      </c>
      <c r="F166" s="30">
        <f>IF('19. Sewer - Capex Input'!$I149=F$3,'19. Sewer - Capex Input'!$G149,IF(E166&gt;1,E166-1,0))</f>
        <v>0</v>
      </c>
      <c r="G166" s="30">
        <f>IF('19. Sewer - Capex Input'!$I149=G$3,'19. Sewer - Capex Input'!$G149,IF(F166&gt;1,F166-1,0))</f>
        <v>32.16934224040952</v>
      </c>
      <c r="H166" s="30">
        <f>IF('19. Sewer - Capex Input'!$I149=H$3,'19. Sewer - Capex Input'!$G149,IF(G166&gt;1,G166-1,0))</f>
        <v>31.16934224040952</v>
      </c>
    </row>
    <row r="167" spans="2:8">
      <c r="B167" s="152" t="str">
        <f>'19. Sewer - Capex Input'!F150</f>
        <v>Carndo Year 5 Reduction</v>
      </c>
      <c r="D167" s="30">
        <f>IF('19. Sewer - Capex Input'!$I150=D$3,'19. Sewer - Capex Input'!$G150,IF(C167&gt;1,C167-1,0))</f>
        <v>0</v>
      </c>
      <c r="E167" s="30">
        <f>IF('19. Sewer - Capex Input'!$I150=E$3,'19. Sewer - Capex Input'!$G150,IF(D167&gt;1,D167-1,0))</f>
        <v>0</v>
      </c>
      <c r="F167" s="30">
        <f>IF('19. Sewer - Capex Input'!$I150=F$3,'19. Sewer - Capex Input'!$G150,IF(E167&gt;1,E167-1,0))</f>
        <v>0</v>
      </c>
      <c r="G167" s="30">
        <f>IF('19. Sewer - Capex Input'!$I150=G$3,'19. Sewer - Capex Input'!$G150,IF(F167&gt;1,F167-1,0))</f>
        <v>0</v>
      </c>
      <c r="H167" s="30">
        <f>IF('19. Sewer - Capex Input'!$I150=H$3,'19. Sewer - Capex Input'!$G150,IF(G167&gt;1,G167-1,0))</f>
        <v>32.169342240409513</v>
      </c>
    </row>
    <row r="168" spans="2:8">
      <c r="B168" s="152">
        <f>'19. Sewer - Capex Input'!F151</f>
        <v>0</v>
      </c>
      <c r="D168" s="30">
        <f>IF('19. Sewer - Capex Input'!$I151=D$3,'19. Sewer - Capex Input'!$G151,IF(C168&gt;1,C168-1,0))</f>
        <v>0</v>
      </c>
      <c r="E168" s="30">
        <f>IF('19. Sewer - Capex Input'!$I151=E$3,'19. Sewer - Capex Input'!$G151,IF(D168&gt;1,D168-1,0))</f>
        <v>0</v>
      </c>
      <c r="F168" s="30">
        <f>IF('19. Sewer - Capex Input'!$I151=F$3,'19. Sewer - Capex Input'!$G151,IF(E168&gt;1,E168-1,0))</f>
        <v>0</v>
      </c>
      <c r="G168" s="30">
        <f>IF('19. Sewer - Capex Input'!$I151=G$3,'19. Sewer - Capex Input'!$G151,IF(F168&gt;1,F168-1,0))</f>
        <v>0</v>
      </c>
      <c r="H168" s="30">
        <f>IF('19. Sewer - Capex Input'!$I151=H$3,'19. Sewer - Capex Input'!$G151,IF(G168&gt;1,G168-1,0))</f>
        <v>0</v>
      </c>
    </row>
    <row r="169" spans="2:8">
      <c r="B169" s="152">
        <f>'19. Sewer - Capex Input'!F152</f>
        <v>0</v>
      </c>
      <c r="D169" s="30">
        <f>IF('19. Sewer - Capex Input'!$I152=D$3,'19. Sewer - Capex Input'!$G152,IF(C169&gt;1,C169-1,0))</f>
        <v>0</v>
      </c>
      <c r="E169" s="30">
        <f>IF('19. Sewer - Capex Input'!$I152=E$3,'19. Sewer - Capex Input'!$G152,IF(D169&gt;1,D169-1,0))</f>
        <v>0</v>
      </c>
      <c r="F169" s="30">
        <f>IF('19. Sewer - Capex Input'!$I152=F$3,'19. Sewer - Capex Input'!$G152,IF(E169&gt;1,E169-1,0))</f>
        <v>0</v>
      </c>
      <c r="G169" s="30">
        <f>IF('19. Sewer - Capex Input'!$I152=G$3,'19. Sewer - Capex Input'!$G152,IF(F169&gt;1,F169-1,0))</f>
        <v>0</v>
      </c>
      <c r="H169" s="30">
        <f>IF('19. Sewer - Capex Input'!$I152=H$3,'19. Sewer - Capex Input'!$G152,IF(G169&gt;1,G169-1,0))</f>
        <v>0</v>
      </c>
    </row>
    <row r="170" spans="2:8">
      <c r="B170" s="152">
        <f>'19. Sewer - Capex Input'!F153</f>
        <v>0</v>
      </c>
      <c r="D170" s="30">
        <f>IF('19. Sewer - Capex Input'!$I153=D$3,'19. Sewer - Capex Input'!$G153,IF(C170&gt;1,C170-1,0))</f>
        <v>0</v>
      </c>
      <c r="E170" s="30">
        <f>IF('19. Sewer - Capex Input'!$I153=E$3,'19. Sewer - Capex Input'!$G153,IF(D170&gt;1,D170-1,0))</f>
        <v>0</v>
      </c>
      <c r="F170" s="30">
        <f>IF('19. Sewer - Capex Input'!$I153=F$3,'19. Sewer - Capex Input'!$G153,IF(E170&gt;1,E170-1,0))</f>
        <v>0</v>
      </c>
      <c r="G170" s="30">
        <f>IF('19. Sewer - Capex Input'!$I153=G$3,'19. Sewer - Capex Input'!$G153,IF(F170&gt;1,F170-1,0))</f>
        <v>0</v>
      </c>
      <c r="H170" s="30">
        <f>IF('19. Sewer - Capex Input'!$I153=H$3,'19. Sewer - Capex Input'!$G153,IF(G170&gt;1,G170-1,0))</f>
        <v>0</v>
      </c>
    </row>
    <row r="171" spans="2:8">
      <c r="B171" s="152">
        <f>'19. Sewer - Capex Input'!F154</f>
        <v>0</v>
      </c>
      <c r="D171" s="30">
        <f>IF('19. Sewer - Capex Input'!$I154=D$3,'19. Sewer - Capex Input'!$G154,IF(C171&gt;1,C171-1,0))</f>
        <v>0</v>
      </c>
      <c r="E171" s="30">
        <f>IF('19. Sewer - Capex Input'!$I154=E$3,'19. Sewer - Capex Input'!$G154,IF(D171&gt;1,D171-1,0))</f>
        <v>0</v>
      </c>
      <c r="F171" s="30">
        <f>IF('19. Sewer - Capex Input'!$I154=F$3,'19. Sewer - Capex Input'!$G154,IF(E171&gt;1,E171-1,0))</f>
        <v>0</v>
      </c>
      <c r="G171" s="30">
        <f>IF('19. Sewer - Capex Input'!$I154=G$3,'19. Sewer - Capex Input'!$G154,IF(F171&gt;1,F171-1,0))</f>
        <v>0</v>
      </c>
      <c r="H171" s="30">
        <f>IF('19. Sewer - Capex Input'!$I154=H$3,'19. Sewer - Capex Input'!$G154,IF(G171&gt;1,G171-1,0))</f>
        <v>0</v>
      </c>
    </row>
    <row r="172" spans="2:8">
      <c r="B172" s="152">
        <f>'19. Sewer - Capex Input'!F155</f>
        <v>0</v>
      </c>
      <c r="D172" s="30">
        <f>IF('19. Sewer - Capex Input'!$I155=D$3,'19. Sewer - Capex Input'!$G155,IF(C172&gt;1,C172-1,0))</f>
        <v>0</v>
      </c>
      <c r="E172" s="30">
        <f>IF('19. Sewer - Capex Input'!$I155=E$3,'19. Sewer - Capex Input'!$G155,IF(D172&gt;1,D172-1,0))</f>
        <v>0</v>
      </c>
      <c r="F172" s="30">
        <f>IF('19. Sewer - Capex Input'!$I155=F$3,'19. Sewer - Capex Input'!$G155,IF(E172&gt;1,E172-1,0))</f>
        <v>0</v>
      </c>
      <c r="G172" s="30">
        <f>IF('19. Sewer - Capex Input'!$I155=G$3,'19. Sewer - Capex Input'!$G155,IF(F172&gt;1,F172-1,0))</f>
        <v>0</v>
      </c>
      <c r="H172" s="30">
        <f>IF('19. Sewer - Capex Input'!$I155=H$3,'19. Sewer - Capex Input'!$G155,IF(G172&gt;1,G172-1,0))</f>
        <v>0</v>
      </c>
    </row>
    <row r="173" spans="2:8">
      <c r="B173" s="152">
        <f>'19. Sewer - Capex Input'!F156</f>
        <v>0</v>
      </c>
      <c r="D173" s="30">
        <f>IF('19. Sewer - Capex Input'!$I156=D$3,'19. Sewer - Capex Input'!$G156,IF(C173&gt;1,C173-1,0))</f>
        <v>0</v>
      </c>
      <c r="E173" s="30">
        <f>IF('19. Sewer - Capex Input'!$I156=E$3,'19. Sewer - Capex Input'!$G156,IF(D173&gt;1,D173-1,0))</f>
        <v>0</v>
      </c>
      <c r="F173" s="30">
        <f>IF('19. Sewer - Capex Input'!$I156=F$3,'19. Sewer - Capex Input'!$G156,IF(E173&gt;1,E173-1,0))</f>
        <v>0</v>
      </c>
      <c r="G173" s="30">
        <f>IF('19. Sewer - Capex Input'!$I156=G$3,'19. Sewer - Capex Input'!$G156,IF(F173&gt;1,F173-1,0))</f>
        <v>0</v>
      </c>
      <c r="H173" s="30">
        <f>IF('19. Sewer - Capex Input'!$I156=H$3,'19. Sewer - Capex Input'!$G156,IF(G173&gt;1,G173-1,0))</f>
        <v>0</v>
      </c>
    </row>
    <row r="174" spans="2:8">
      <c r="B174" s="152">
        <f>'19. Sewer - Capex Input'!F157</f>
        <v>0</v>
      </c>
      <c r="D174" s="30">
        <f>IF('19. Sewer - Capex Input'!$I157=D$3,'19. Sewer - Capex Input'!$G157,IF(C174&gt;1,C174-1,0))</f>
        <v>0</v>
      </c>
      <c r="E174" s="30">
        <f>IF('19. Sewer - Capex Input'!$I157=E$3,'19. Sewer - Capex Input'!$G157,IF(D174&gt;1,D174-1,0))</f>
        <v>0</v>
      </c>
      <c r="F174" s="30">
        <f>IF('19. Sewer - Capex Input'!$I157=F$3,'19. Sewer - Capex Input'!$G157,IF(E174&gt;1,E174-1,0))</f>
        <v>0</v>
      </c>
      <c r="G174" s="30">
        <f>IF('19. Sewer - Capex Input'!$I157=G$3,'19. Sewer - Capex Input'!$G157,IF(F174&gt;1,F174-1,0))</f>
        <v>0</v>
      </c>
      <c r="H174" s="30">
        <f>IF('19. Sewer - Capex Input'!$I157=H$3,'19. Sewer - Capex Input'!$G157,IF(G174&gt;1,G174-1,0))</f>
        <v>0</v>
      </c>
    </row>
    <row r="175" spans="2:8">
      <c r="B175" s="152">
        <f>'19. Sewer - Capex Input'!F158</f>
        <v>0</v>
      </c>
      <c r="D175" s="30">
        <f>IF('19. Sewer - Capex Input'!$I158=D$3,'19. Sewer - Capex Input'!$G158,IF(C175&gt;1,C175-1,0))</f>
        <v>0</v>
      </c>
      <c r="E175" s="30">
        <f>IF('19. Sewer - Capex Input'!$I158=E$3,'19. Sewer - Capex Input'!$G158,IF(D175&gt;1,D175-1,0))</f>
        <v>0</v>
      </c>
      <c r="F175" s="30">
        <f>IF('19. Sewer - Capex Input'!$I158=F$3,'19. Sewer - Capex Input'!$G158,IF(E175&gt;1,E175-1,0))</f>
        <v>0</v>
      </c>
      <c r="G175" s="30">
        <f>IF('19. Sewer - Capex Input'!$I158=G$3,'19. Sewer - Capex Input'!$G158,IF(F175&gt;1,F175-1,0))</f>
        <v>0</v>
      </c>
      <c r="H175" s="30">
        <f>IF('19. Sewer - Capex Input'!$I158=H$3,'19. Sewer - Capex Input'!$G158,IF(G175&gt;1,G175-1,0))</f>
        <v>0</v>
      </c>
    </row>
    <row r="176" spans="2:8">
      <c r="B176" s="152">
        <f>'19. Sewer - Capex Input'!F159</f>
        <v>0</v>
      </c>
      <c r="D176" s="30">
        <f>IF('19. Sewer - Capex Input'!$I159=D$3,'19. Sewer - Capex Input'!$G159,IF(C176&gt;1,C176-1,0))</f>
        <v>0</v>
      </c>
      <c r="E176" s="30">
        <f>IF('19. Sewer - Capex Input'!$I159=E$3,'19. Sewer - Capex Input'!$G159,IF(D176&gt;1,D176-1,0))</f>
        <v>0</v>
      </c>
      <c r="F176" s="30">
        <f>IF('19. Sewer - Capex Input'!$I159=F$3,'19. Sewer - Capex Input'!$G159,IF(E176&gt;1,E176-1,0))</f>
        <v>0</v>
      </c>
      <c r="G176" s="30">
        <f>IF('19. Sewer - Capex Input'!$I159=G$3,'19. Sewer - Capex Input'!$G159,IF(F176&gt;1,F176-1,0))</f>
        <v>0</v>
      </c>
      <c r="H176" s="30">
        <f>IF('19. Sewer - Capex Input'!$I159=H$3,'19. Sewer - Capex Input'!$G159,IF(G176&gt;1,G176-1,0))</f>
        <v>0</v>
      </c>
    </row>
    <row r="177" spans="2:8">
      <c r="B177" s="152">
        <f>'19. Sewer - Capex Input'!F160</f>
        <v>0</v>
      </c>
      <c r="D177" s="30">
        <f>IF('19. Sewer - Capex Input'!$I160=D$3,'19. Sewer - Capex Input'!$G160,IF(C177&gt;1,C177-1,0))</f>
        <v>0</v>
      </c>
      <c r="E177" s="30">
        <f>IF('19. Sewer - Capex Input'!$I160=E$3,'19. Sewer - Capex Input'!$G160,IF(D177&gt;1,D177-1,0))</f>
        <v>0</v>
      </c>
      <c r="F177" s="30">
        <f>IF('19. Sewer - Capex Input'!$I160=F$3,'19. Sewer - Capex Input'!$G160,IF(E177&gt;1,E177-1,0))</f>
        <v>0</v>
      </c>
      <c r="G177" s="30">
        <f>IF('19. Sewer - Capex Input'!$I160=G$3,'19. Sewer - Capex Input'!$G160,IF(F177&gt;1,F177-1,0))</f>
        <v>0</v>
      </c>
      <c r="H177" s="30">
        <f>IF('19. Sewer - Capex Input'!$I160=H$3,'19. Sewer - Capex Input'!$G160,IF(G177&gt;1,G177-1,0))</f>
        <v>0</v>
      </c>
    </row>
    <row r="178" spans="2:8">
      <c r="B178" s="152">
        <f>'19. Sewer - Capex Input'!F161</f>
        <v>0</v>
      </c>
      <c r="D178" s="30">
        <f>IF('19. Sewer - Capex Input'!$I161=D$3,'19. Sewer - Capex Input'!$G161,IF(C178&gt;1,C178-1,0))</f>
        <v>0</v>
      </c>
      <c r="E178" s="30">
        <f>IF('19. Sewer - Capex Input'!$I161=E$3,'19. Sewer - Capex Input'!$G161,IF(D178&gt;1,D178-1,0))</f>
        <v>0</v>
      </c>
      <c r="F178" s="30">
        <f>IF('19. Sewer - Capex Input'!$I161=F$3,'19. Sewer - Capex Input'!$G161,IF(E178&gt;1,E178-1,0))</f>
        <v>0</v>
      </c>
      <c r="G178" s="30">
        <f>IF('19. Sewer - Capex Input'!$I161=G$3,'19. Sewer - Capex Input'!$G161,IF(F178&gt;1,F178-1,0))</f>
        <v>0</v>
      </c>
      <c r="H178" s="30">
        <f>IF('19. Sewer - Capex Input'!$I161=H$3,'19. Sewer - Capex Input'!$G161,IF(G178&gt;1,G178-1,0))</f>
        <v>0</v>
      </c>
    </row>
    <row r="179" spans="2:8">
      <c r="B179" s="152">
        <f>'19. Sewer - Capex Input'!F162</f>
        <v>0</v>
      </c>
      <c r="D179" s="30">
        <f>IF('19. Sewer - Capex Input'!$I162=D$3,'19. Sewer - Capex Input'!$G162,IF(C179&gt;1,C179-1,0))</f>
        <v>0</v>
      </c>
      <c r="E179" s="30">
        <f>IF('19. Sewer - Capex Input'!$I162=E$3,'19. Sewer - Capex Input'!$G162,IF(D179&gt;1,D179-1,0))</f>
        <v>0</v>
      </c>
      <c r="F179" s="30">
        <f>IF('19. Sewer - Capex Input'!$I162=F$3,'19. Sewer - Capex Input'!$G162,IF(E179&gt;1,E179-1,0))</f>
        <v>0</v>
      </c>
      <c r="G179" s="30">
        <f>IF('19. Sewer - Capex Input'!$I162=G$3,'19. Sewer - Capex Input'!$G162,IF(F179&gt;1,F179-1,0))</f>
        <v>0</v>
      </c>
      <c r="H179" s="30">
        <f>IF('19. Sewer - Capex Input'!$I162=H$3,'19. Sewer - Capex Input'!$G162,IF(G179&gt;1,G179-1,0))</f>
        <v>0</v>
      </c>
    </row>
    <row r="180" spans="2:8">
      <c r="B180" s="152">
        <f>'19. Sewer - Capex Input'!F163</f>
        <v>0</v>
      </c>
      <c r="D180" s="30">
        <f>IF('19. Sewer - Capex Input'!$I163=D$3,'19. Sewer - Capex Input'!$G163,IF(C180&gt;1,C180-1,0))</f>
        <v>0</v>
      </c>
      <c r="E180" s="30">
        <f>IF('19. Sewer - Capex Input'!$I163=E$3,'19. Sewer - Capex Input'!$G163,IF(D180&gt;1,D180-1,0))</f>
        <v>0</v>
      </c>
      <c r="F180" s="30">
        <f>IF('19. Sewer - Capex Input'!$I163=F$3,'19. Sewer - Capex Input'!$G163,IF(E180&gt;1,E180-1,0))</f>
        <v>0</v>
      </c>
      <c r="G180" s="30">
        <f>IF('19. Sewer - Capex Input'!$I163=G$3,'19. Sewer - Capex Input'!$G163,IF(F180&gt;1,F180-1,0))</f>
        <v>0</v>
      </c>
      <c r="H180" s="30">
        <f>IF('19. Sewer - Capex Input'!$I163=H$3,'19. Sewer - Capex Input'!$G163,IF(G180&gt;1,G180-1,0))</f>
        <v>0</v>
      </c>
    </row>
    <row r="181" spans="2:8">
      <c r="B181" s="152">
        <f>'19. Sewer - Capex Input'!F164</f>
        <v>0</v>
      </c>
      <c r="D181" s="30">
        <f>IF('19. Sewer - Capex Input'!$I164=D$3,'19. Sewer - Capex Input'!$G164,IF(C181&gt;1,C181-1,0))</f>
        <v>0</v>
      </c>
      <c r="E181" s="30">
        <f>IF('19. Sewer - Capex Input'!$I164=E$3,'19. Sewer - Capex Input'!$G164,IF(D181&gt;1,D181-1,0))</f>
        <v>0</v>
      </c>
      <c r="F181" s="30">
        <f>IF('19. Sewer - Capex Input'!$I164=F$3,'19. Sewer - Capex Input'!$G164,IF(E181&gt;1,E181-1,0))</f>
        <v>0</v>
      </c>
      <c r="G181" s="30">
        <f>IF('19. Sewer - Capex Input'!$I164=G$3,'19. Sewer - Capex Input'!$G164,IF(F181&gt;1,F181-1,0))</f>
        <v>0</v>
      </c>
      <c r="H181" s="30">
        <f>IF('19. Sewer - Capex Input'!$I164=H$3,'19. Sewer - Capex Input'!$G164,IF(G181&gt;1,G181-1,0))</f>
        <v>0</v>
      </c>
    </row>
    <row r="182" spans="2:8">
      <c r="B182" s="152">
        <f>'19. Sewer - Capex Input'!F165</f>
        <v>0</v>
      </c>
      <c r="D182" s="30">
        <f>IF('19. Sewer - Capex Input'!$I165=D$3,'19. Sewer - Capex Input'!$G165,IF(C182&gt;1,C182-1,0))</f>
        <v>0</v>
      </c>
      <c r="E182" s="30">
        <f>IF('19. Sewer - Capex Input'!$I165=E$3,'19. Sewer - Capex Input'!$G165,IF(D182&gt;1,D182-1,0))</f>
        <v>0</v>
      </c>
      <c r="F182" s="30">
        <f>IF('19. Sewer - Capex Input'!$I165=F$3,'19. Sewer - Capex Input'!$G165,IF(E182&gt;1,E182-1,0))</f>
        <v>0</v>
      </c>
      <c r="G182" s="30">
        <f>IF('19. Sewer - Capex Input'!$I165=G$3,'19. Sewer - Capex Input'!$G165,IF(F182&gt;1,F182-1,0))</f>
        <v>0</v>
      </c>
      <c r="H182" s="30">
        <f>IF('19. Sewer - Capex Input'!$I165=H$3,'19. Sewer - Capex Input'!$G165,IF(G182&gt;1,G182-1,0))</f>
        <v>0</v>
      </c>
    </row>
    <row r="183" spans="2:8">
      <c r="B183" s="152">
        <f>'19. Sewer - Capex Input'!F166</f>
        <v>0</v>
      </c>
      <c r="D183" s="30">
        <f>IF('19. Sewer - Capex Input'!$I166=D$3,'19. Sewer - Capex Input'!$G166,IF(C183&gt;1,C183-1,0))</f>
        <v>0</v>
      </c>
      <c r="E183" s="30">
        <f>IF('19. Sewer - Capex Input'!$I166=E$3,'19. Sewer - Capex Input'!$G166,IF(D183&gt;1,D183-1,0))</f>
        <v>0</v>
      </c>
      <c r="F183" s="30">
        <f>IF('19. Sewer - Capex Input'!$I166=F$3,'19. Sewer - Capex Input'!$G166,IF(E183&gt;1,E183-1,0))</f>
        <v>0</v>
      </c>
      <c r="G183" s="30">
        <f>IF('19. Sewer - Capex Input'!$I166=G$3,'19. Sewer - Capex Input'!$G166,IF(F183&gt;1,F183-1,0))</f>
        <v>0</v>
      </c>
      <c r="H183" s="30">
        <f>IF('19. Sewer - Capex Input'!$I166=H$3,'19. Sewer - Capex Input'!$G166,IF(G183&gt;1,G183-1,0))</f>
        <v>0</v>
      </c>
    </row>
    <row r="184" spans="2:8">
      <c r="B184" s="152">
        <f>'19. Sewer - Capex Input'!F167</f>
        <v>0</v>
      </c>
      <c r="D184" s="30">
        <f>IF('19. Sewer - Capex Input'!$I167=D$3,'19. Sewer - Capex Input'!$G167,IF(C184&gt;1,C184-1,0))</f>
        <v>0</v>
      </c>
      <c r="E184" s="30">
        <f>IF('19. Sewer - Capex Input'!$I167=E$3,'19. Sewer - Capex Input'!$G167,IF(D184&gt;1,D184-1,0))</f>
        <v>0</v>
      </c>
      <c r="F184" s="30">
        <f>IF('19. Sewer - Capex Input'!$I167=F$3,'19. Sewer - Capex Input'!$G167,IF(E184&gt;1,E184-1,0))</f>
        <v>0</v>
      </c>
      <c r="G184" s="30">
        <f>IF('19. Sewer - Capex Input'!$I167=G$3,'19. Sewer - Capex Input'!$G167,IF(F184&gt;1,F184-1,0))</f>
        <v>0</v>
      </c>
      <c r="H184" s="30">
        <f>IF('19. Sewer - Capex Input'!$I167=H$3,'19. Sewer - Capex Input'!$G167,IF(G184&gt;1,G184-1,0))</f>
        <v>0</v>
      </c>
    </row>
    <row r="185" spans="2:8">
      <c r="B185" s="152"/>
      <c r="D185" s="30"/>
      <c r="E185" s="30"/>
      <c r="F185" s="30"/>
      <c r="G185" s="30"/>
      <c r="H185" s="30"/>
    </row>
    <row r="186" spans="2:8" ht="15.75">
      <c r="B186" s="151" t="s">
        <v>116</v>
      </c>
      <c r="D186" s="30"/>
      <c r="E186" s="30"/>
      <c r="F186" s="30"/>
      <c r="G186" s="30"/>
      <c r="H186" s="30"/>
    </row>
    <row r="187" spans="2:8">
      <c r="B187" s="152">
        <f t="shared" ref="B187:B250" si="6">B21</f>
        <v>0</v>
      </c>
      <c r="D187" s="30">
        <v>0</v>
      </c>
      <c r="E187" s="30">
        <f>D1022</f>
        <v>164161.75445833331</v>
      </c>
      <c r="F187" s="30">
        <f t="shared" ref="F187:H187" si="7">E1022</f>
        <v>161379.35184039545</v>
      </c>
      <c r="G187" s="30">
        <f t="shared" si="7"/>
        <v>158596.9492224576</v>
      </c>
      <c r="H187" s="30">
        <f t="shared" si="7"/>
        <v>155814.54660451974</v>
      </c>
    </row>
    <row r="188" spans="2:8">
      <c r="B188" s="152">
        <f t="shared" si="6"/>
        <v>0</v>
      </c>
      <c r="D188" s="30">
        <v>0</v>
      </c>
      <c r="E188" s="30">
        <f t="shared" ref="E188:H203" si="8">D1023</f>
        <v>0</v>
      </c>
      <c r="F188" s="30">
        <f t="shared" si="8"/>
        <v>504744.12770833331</v>
      </c>
      <c r="G188" s="30">
        <f t="shared" si="8"/>
        <v>496189.14249293786</v>
      </c>
      <c r="H188" s="30">
        <f t="shared" si="8"/>
        <v>487634.1572775424</v>
      </c>
    </row>
    <row r="189" spans="2:8">
      <c r="B189" s="152">
        <f t="shared" si="6"/>
        <v>0</v>
      </c>
      <c r="D189" s="30">
        <v>0</v>
      </c>
      <c r="E189" s="30">
        <f t="shared" si="8"/>
        <v>0</v>
      </c>
      <c r="F189" s="30">
        <f t="shared" si="8"/>
        <v>0</v>
      </c>
      <c r="G189" s="30">
        <f t="shared" si="8"/>
        <v>104554.8875</v>
      </c>
      <c r="H189" s="30">
        <f t="shared" si="8"/>
        <v>102782.77076271187</v>
      </c>
    </row>
    <row r="190" spans="2:8">
      <c r="B190" s="152">
        <f t="shared" si="6"/>
        <v>0</v>
      </c>
      <c r="D190" s="30">
        <v>0</v>
      </c>
      <c r="E190" s="30">
        <f t="shared" si="8"/>
        <v>95038.35533333334</v>
      </c>
      <c r="F190" s="30">
        <f t="shared" si="8"/>
        <v>88249.901380952389</v>
      </c>
      <c r="G190" s="30">
        <f t="shared" si="8"/>
        <v>81461.447428571439</v>
      </c>
      <c r="H190" s="30">
        <f t="shared" si="8"/>
        <v>74672.993476190488</v>
      </c>
    </row>
    <row r="191" spans="2:8">
      <c r="B191" s="152">
        <f t="shared" si="6"/>
        <v>0</v>
      </c>
      <c r="D191" s="30">
        <v>0</v>
      </c>
      <c r="E191" s="30">
        <f t="shared" si="8"/>
        <v>0</v>
      </c>
      <c r="F191" s="30">
        <f t="shared" si="8"/>
        <v>4088.1251666666667</v>
      </c>
      <c r="G191" s="30">
        <f t="shared" si="8"/>
        <v>3796.116226190476</v>
      </c>
      <c r="H191" s="30">
        <f t="shared" si="8"/>
        <v>3504.1072857142854</v>
      </c>
    </row>
    <row r="192" spans="2:8">
      <c r="B192" s="152">
        <f t="shared" si="6"/>
        <v>0</v>
      </c>
      <c r="D192" s="30">
        <v>0</v>
      </c>
      <c r="E192" s="30">
        <f t="shared" si="8"/>
        <v>270899.73166666669</v>
      </c>
      <c r="F192" s="30">
        <f t="shared" si="8"/>
        <v>266308.21079096047</v>
      </c>
      <c r="G192" s="30">
        <f t="shared" si="8"/>
        <v>261716.68991525425</v>
      </c>
      <c r="H192" s="30">
        <f t="shared" si="8"/>
        <v>257125.16903954803</v>
      </c>
    </row>
    <row r="193" spans="2:8">
      <c r="B193" s="152">
        <f t="shared" si="6"/>
        <v>0</v>
      </c>
      <c r="D193" s="30">
        <v>0</v>
      </c>
      <c r="E193" s="30">
        <f t="shared" si="8"/>
        <v>0</v>
      </c>
      <c r="F193" s="30">
        <f t="shared" si="8"/>
        <v>1820852.2142222223</v>
      </c>
      <c r="G193" s="30">
        <f t="shared" si="8"/>
        <v>1789990.3122862524</v>
      </c>
      <c r="H193" s="30">
        <f t="shared" si="8"/>
        <v>1759128.4103502824</v>
      </c>
    </row>
    <row r="194" spans="2:8">
      <c r="B194" s="152">
        <f t="shared" si="6"/>
        <v>0</v>
      </c>
      <c r="D194" s="30">
        <v>0</v>
      </c>
      <c r="E194" s="30">
        <f t="shared" si="8"/>
        <v>0</v>
      </c>
      <c r="F194" s="30">
        <f t="shared" si="8"/>
        <v>0</v>
      </c>
      <c r="G194" s="30">
        <f t="shared" si="8"/>
        <v>4313750</v>
      </c>
      <c r="H194" s="30">
        <f t="shared" si="8"/>
        <v>4240635.5932203392</v>
      </c>
    </row>
    <row r="195" spans="2:8">
      <c r="B195" s="152">
        <f t="shared" si="6"/>
        <v>0</v>
      </c>
      <c r="D195" s="30">
        <v>0</v>
      </c>
      <c r="E195" s="30">
        <f t="shared" si="8"/>
        <v>2282917.3849999998</v>
      </c>
      <c r="F195" s="30">
        <f t="shared" si="8"/>
        <v>2204196.0958620687</v>
      </c>
      <c r="G195" s="30">
        <f t="shared" si="8"/>
        <v>2125474.8067241376</v>
      </c>
      <c r="H195" s="30">
        <f t="shared" si="8"/>
        <v>2046753.5175862066</v>
      </c>
    </row>
    <row r="196" spans="2:8">
      <c r="B196" s="152">
        <f t="shared" si="6"/>
        <v>0</v>
      </c>
      <c r="D196" s="30">
        <v>0</v>
      </c>
      <c r="E196" s="30">
        <f t="shared" si="8"/>
        <v>0</v>
      </c>
      <c r="F196" s="30">
        <f t="shared" si="8"/>
        <v>2248983.4169999999</v>
      </c>
      <c r="G196" s="30">
        <f t="shared" si="8"/>
        <v>2171432.264689655</v>
      </c>
      <c r="H196" s="30">
        <f t="shared" si="8"/>
        <v>2093881.1123793102</v>
      </c>
    </row>
    <row r="197" spans="2:8">
      <c r="B197" s="152">
        <f t="shared" si="6"/>
        <v>0</v>
      </c>
      <c r="D197" s="30">
        <v>0</v>
      </c>
      <c r="E197" s="30">
        <f t="shared" si="8"/>
        <v>0</v>
      </c>
      <c r="F197" s="30">
        <f t="shared" si="8"/>
        <v>0</v>
      </c>
      <c r="G197" s="30">
        <f t="shared" si="8"/>
        <v>5109733.3499999996</v>
      </c>
      <c r="H197" s="30">
        <f t="shared" si="8"/>
        <v>4933535.6482758615</v>
      </c>
    </row>
    <row r="198" spans="2:8">
      <c r="B198" s="152">
        <f t="shared" si="6"/>
        <v>0</v>
      </c>
      <c r="D198" s="30">
        <v>0</v>
      </c>
      <c r="E198" s="30">
        <f t="shared" si="8"/>
        <v>0</v>
      </c>
      <c r="F198" s="30">
        <f t="shared" si="8"/>
        <v>0</v>
      </c>
      <c r="G198" s="30">
        <f t="shared" si="8"/>
        <v>0</v>
      </c>
      <c r="H198" s="30">
        <f t="shared" si="8"/>
        <v>38993504.149999999</v>
      </c>
    </row>
    <row r="199" spans="2:8">
      <c r="B199" s="152">
        <f t="shared" si="6"/>
        <v>0</v>
      </c>
      <c r="D199" s="30">
        <v>0</v>
      </c>
      <c r="E199" s="30">
        <f t="shared" si="8"/>
        <v>0</v>
      </c>
      <c r="F199" s="30">
        <f t="shared" si="8"/>
        <v>0</v>
      </c>
      <c r="G199" s="30">
        <f t="shared" si="8"/>
        <v>0</v>
      </c>
      <c r="H199" s="30">
        <f t="shared" si="8"/>
        <v>0</v>
      </c>
    </row>
    <row r="200" spans="2:8">
      <c r="B200" s="152">
        <f t="shared" si="6"/>
        <v>0</v>
      </c>
      <c r="D200" s="30">
        <v>0</v>
      </c>
      <c r="E200" s="30">
        <f t="shared" si="8"/>
        <v>0</v>
      </c>
      <c r="F200" s="30">
        <f t="shared" si="8"/>
        <v>9553468.8000000007</v>
      </c>
      <c r="G200" s="30">
        <f t="shared" si="8"/>
        <v>9224038.8413793109</v>
      </c>
      <c r="H200" s="30">
        <f t="shared" si="8"/>
        <v>8894608.8827586211</v>
      </c>
    </row>
    <row r="201" spans="2:8">
      <c r="B201" s="152">
        <f t="shared" si="6"/>
        <v>0</v>
      </c>
      <c r="D201" s="30">
        <v>0</v>
      </c>
      <c r="E201" s="30">
        <f t="shared" si="8"/>
        <v>0</v>
      </c>
      <c r="F201" s="30">
        <f t="shared" si="8"/>
        <v>0</v>
      </c>
      <c r="G201" s="30">
        <f t="shared" si="8"/>
        <v>8910545.8000000007</v>
      </c>
      <c r="H201" s="30">
        <f t="shared" si="8"/>
        <v>8603285.6000000015</v>
      </c>
    </row>
    <row r="202" spans="2:8">
      <c r="B202" s="152">
        <f t="shared" si="6"/>
        <v>0</v>
      </c>
      <c r="D202" s="30">
        <v>0</v>
      </c>
      <c r="E202" s="30">
        <f t="shared" si="8"/>
        <v>0</v>
      </c>
      <c r="F202" s="30">
        <f t="shared" si="8"/>
        <v>0</v>
      </c>
      <c r="G202" s="30">
        <f t="shared" si="8"/>
        <v>0</v>
      </c>
      <c r="H202" s="30">
        <f t="shared" si="8"/>
        <v>9161217.1333333328</v>
      </c>
    </row>
    <row r="203" spans="2:8">
      <c r="B203" s="152">
        <f t="shared" si="6"/>
        <v>0</v>
      </c>
      <c r="D203" s="30">
        <v>0</v>
      </c>
      <c r="E203" s="30">
        <f t="shared" si="8"/>
        <v>0</v>
      </c>
      <c r="F203" s="30">
        <f t="shared" si="8"/>
        <v>0</v>
      </c>
      <c r="G203" s="30">
        <f t="shared" si="8"/>
        <v>0</v>
      </c>
      <c r="H203" s="30">
        <f t="shared" si="8"/>
        <v>0</v>
      </c>
    </row>
    <row r="204" spans="2:8">
      <c r="B204" s="152">
        <f t="shared" si="6"/>
        <v>0</v>
      </c>
      <c r="D204" s="30">
        <v>0</v>
      </c>
      <c r="E204" s="30">
        <f t="shared" ref="E204:H219" si="9">D1039</f>
        <v>0</v>
      </c>
      <c r="F204" s="30">
        <f t="shared" si="9"/>
        <v>272305.61407499999</v>
      </c>
      <c r="G204" s="30">
        <f t="shared" si="9"/>
        <v>268858.70756772149</v>
      </c>
      <c r="H204" s="30">
        <f t="shared" si="9"/>
        <v>265411.80106044299</v>
      </c>
    </row>
    <row r="205" spans="2:8">
      <c r="B205" s="152">
        <f t="shared" si="6"/>
        <v>0</v>
      </c>
      <c r="D205" s="30">
        <v>0</v>
      </c>
      <c r="E205" s="30">
        <f t="shared" si="9"/>
        <v>0</v>
      </c>
      <c r="F205" s="30">
        <f t="shared" si="9"/>
        <v>0</v>
      </c>
      <c r="G205" s="30">
        <f t="shared" si="9"/>
        <v>8180979.2999999998</v>
      </c>
      <c r="H205" s="30">
        <f t="shared" si="9"/>
        <v>8077422.5999999996</v>
      </c>
    </row>
    <row r="206" spans="2:8">
      <c r="B206" s="152">
        <f t="shared" si="6"/>
        <v>0</v>
      </c>
      <c r="D206" s="30">
        <v>0</v>
      </c>
      <c r="E206" s="30">
        <f t="shared" si="9"/>
        <v>0</v>
      </c>
      <c r="F206" s="30">
        <f t="shared" si="9"/>
        <v>0</v>
      </c>
      <c r="G206" s="30">
        <f t="shared" si="9"/>
        <v>0</v>
      </c>
      <c r="H206" s="30">
        <f t="shared" si="9"/>
        <v>11593833.80625</v>
      </c>
    </row>
    <row r="207" spans="2:8">
      <c r="B207" s="152">
        <f t="shared" si="6"/>
        <v>0</v>
      </c>
      <c r="D207" s="30">
        <v>0</v>
      </c>
      <c r="E207" s="30">
        <f t="shared" si="9"/>
        <v>0</v>
      </c>
      <c r="F207" s="30">
        <f t="shared" si="9"/>
        <v>0</v>
      </c>
      <c r="G207" s="30">
        <f t="shared" si="9"/>
        <v>0</v>
      </c>
      <c r="H207" s="30">
        <f t="shared" si="9"/>
        <v>0</v>
      </c>
    </row>
    <row r="208" spans="2:8">
      <c r="B208" s="152">
        <f t="shared" si="6"/>
        <v>0</v>
      </c>
      <c r="D208" s="30">
        <v>0</v>
      </c>
      <c r="E208" s="30">
        <f t="shared" si="9"/>
        <v>0</v>
      </c>
      <c r="F208" s="30">
        <f t="shared" si="9"/>
        <v>4228333.333333333</v>
      </c>
      <c r="G208" s="30">
        <f t="shared" si="9"/>
        <v>4082528.7356321835</v>
      </c>
      <c r="H208" s="30">
        <f t="shared" si="9"/>
        <v>3936724.137931034</v>
      </c>
    </row>
    <row r="209" spans="2:8">
      <c r="B209" s="152">
        <f t="shared" si="6"/>
        <v>0</v>
      </c>
      <c r="D209" s="30">
        <v>0</v>
      </c>
      <c r="E209" s="30">
        <f t="shared" si="9"/>
        <v>0</v>
      </c>
      <c r="F209" s="30">
        <f t="shared" si="9"/>
        <v>0</v>
      </c>
      <c r="G209" s="30">
        <f t="shared" si="9"/>
        <v>17896666.666666668</v>
      </c>
      <c r="H209" s="30">
        <f t="shared" si="9"/>
        <v>17279540.22988506</v>
      </c>
    </row>
    <row r="210" spans="2:8">
      <c r="B210" s="152">
        <f t="shared" si="6"/>
        <v>0</v>
      </c>
      <c r="D210" s="30">
        <v>0</v>
      </c>
      <c r="E210" s="30">
        <f t="shared" si="9"/>
        <v>0</v>
      </c>
      <c r="F210" s="30">
        <f t="shared" si="9"/>
        <v>0</v>
      </c>
      <c r="G210" s="30">
        <f t="shared" si="9"/>
        <v>531123.9</v>
      </c>
      <c r="H210" s="30">
        <f t="shared" si="9"/>
        <v>512809.28275862068</v>
      </c>
    </row>
    <row r="211" spans="2:8">
      <c r="B211" s="152">
        <f t="shared" si="6"/>
        <v>0</v>
      </c>
      <c r="D211" s="30">
        <v>0</v>
      </c>
      <c r="E211" s="30">
        <f t="shared" si="9"/>
        <v>0</v>
      </c>
      <c r="F211" s="30">
        <f t="shared" si="9"/>
        <v>0</v>
      </c>
      <c r="G211" s="30">
        <f t="shared" si="9"/>
        <v>0</v>
      </c>
      <c r="H211" s="30">
        <f t="shared" si="9"/>
        <v>7662486.3499999996</v>
      </c>
    </row>
    <row r="212" spans="2:8">
      <c r="B212" s="152">
        <f t="shared" si="6"/>
        <v>0</v>
      </c>
      <c r="D212" s="30">
        <v>0</v>
      </c>
      <c r="E212" s="30">
        <f t="shared" si="9"/>
        <v>0</v>
      </c>
      <c r="F212" s="30">
        <f t="shared" si="9"/>
        <v>0</v>
      </c>
      <c r="G212" s="30">
        <f t="shared" si="9"/>
        <v>0</v>
      </c>
      <c r="H212" s="30">
        <f t="shared" si="9"/>
        <v>0</v>
      </c>
    </row>
    <row r="213" spans="2:8">
      <c r="B213" s="152">
        <f t="shared" si="6"/>
        <v>0</v>
      </c>
      <c r="D213" s="30">
        <v>0</v>
      </c>
      <c r="E213" s="30">
        <f t="shared" si="9"/>
        <v>0</v>
      </c>
      <c r="F213" s="30">
        <f t="shared" si="9"/>
        <v>0</v>
      </c>
      <c r="G213" s="30">
        <f t="shared" si="9"/>
        <v>1017601.65</v>
      </c>
      <c r="H213" s="30">
        <f t="shared" si="9"/>
        <v>964043.66842105263</v>
      </c>
    </row>
    <row r="214" spans="2:8">
      <c r="B214" s="152">
        <f t="shared" si="6"/>
        <v>0</v>
      </c>
      <c r="D214" s="30">
        <v>0</v>
      </c>
      <c r="E214" s="30">
        <f t="shared" si="9"/>
        <v>0</v>
      </c>
      <c r="F214" s="30">
        <f t="shared" si="9"/>
        <v>0</v>
      </c>
      <c r="G214" s="30">
        <f t="shared" si="9"/>
        <v>0</v>
      </c>
      <c r="H214" s="30">
        <f t="shared" si="9"/>
        <v>5220426.9000000004</v>
      </c>
    </row>
    <row r="215" spans="2:8">
      <c r="B215" s="152">
        <f t="shared" si="6"/>
        <v>0</v>
      </c>
      <c r="D215" s="30">
        <v>0</v>
      </c>
      <c r="E215" s="30">
        <f t="shared" si="9"/>
        <v>0</v>
      </c>
      <c r="F215" s="30">
        <f t="shared" si="9"/>
        <v>0</v>
      </c>
      <c r="G215" s="30">
        <f t="shared" si="9"/>
        <v>0</v>
      </c>
      <c r="H215" s="30">
        <f t="shared" si="9"/>
        <v>0</v>
      </c>
    </row>
    <row r="216" spans="2:8">
      <c r="B216" s="152">
        <f t="shared" si="6"/>
        <v>0</v>
      </c>
      <c r="D216" s="30">
        <v>0</v>
      </c>
      <c r="E216" s="30">
        <f t="shared" si="9"/>
        <v>0</v>
      </c>
      <c r="F216" s="30">
        <f t="shared" si="9"/>
        <v>0</v>
      </c>
      <c r="G216" s="30">
        <f t="shared" si="9"/>
        <v>2052597.6576156763</v>
      </c>
      <c r="H216" s="30">
        <f t="shared" si="9"/>
        <v>1981818.4280427219</v>
      </c>
    </row>
    <row r="217" spans="2:8">
      <c r="B217" s="152">
        <f t="shared" si="6"/>
        <v>0</v>
      </c>
      <c r="D217" s="30">
        <v>0</v>
      </c>
      <c r="E217" s="30">
        <f t="shared" si="9"/>
        <v>0</v>
      </c>
      <c r="F217" s="30">
        <f t="shared" si="9"/>
        <v>0</v>
      </c>
      <c r="G217" s="30">
        <f t="shared" si="9"/>
        <v>0</v>
      </c>
      <c r="H217" s="30">
        <f t="shared" si="9"/>
        <v>5265045.6142927008</v>
      </c>
    </row>
    <row r="218" spans="2:8">
      <c r="B218" s="152">
        <f t="shared" si="6"/>
        <v>0</v>
      </c>
      <c r="D218" s="30">
        <v>0</v>
      </c>
      <c r="E218" s="30">
        <f t="shared" si="9"/>
        <v>0</v>
      </c>
      <c r="F218" s="30">
        <f t="shared" si="9"/>
        <v>0</v>
      </c>
      <c r="G218" s="30">
        <f t="shared" si="9"/>
        <v>0</v>
      </c>
      <c r="H218" s="30">
        <f t="shared" si="9"/>
        <v>0</v>
      </c>
    </row>
    <row r="219" spans="2:8">
      <c r="B219" s="152">
        <f t="shared" si="6"/>
        <v>0</v>
      </c>
      <c r="D219" s="30">
        <v>0</v>
      </c>
      <c r="E219" s="30">
        <f t="shared" si="9"/>
        <v>0</v>
      </c>
      <c r="F219" s="30">
        <f t="shared" si="9"/>
        <v>0</v>
      </c>
      <c r="G219" s="30">
        <f t="shared" si="9"/>
        <v>1073500.425</v>
      </c>
      <c r="H219" s="30">
        <f t="shared" si="9"/>
        <v>1059911.8120253165</v>
      </c>
    </row>
    <row r="220" spans="2:8">
      <c r="B220" s="152">
        <f t="shared" si="6"/>
        <v>0</v>
      </c>
      <c r="D220" s="30">
        <v>0</v>
      </c>
      <c r="E220" s="30">
        <f t="shared" ref="E220:H235" si="10">D1055</f>
        <v>0</v>
      </c>
      <c r="F220" s="30">
        <f t="shared" si="10"/>
        <v>0</v>
      </c>
      <c r="G220" s="30">
        <f t="shared" si="10"/>
        <v>0</v>
      </c>
      <c r="H220" s="30">
        <f t="shared" si="10"/>
        <v>7725904.40625</v>
      </c>
    </row>
    <row r="221" spans="2:8">
      <c r="B221" s="152">
        <f t="shared" si="6"/>
        <v>0</v>
      </c>
      <c r="D221" s="30">
        <v>0</v>
      </c>
      <c r="E221" s="30">
        <f t="shared" si="10"/>
        <v>0</v>
      </c>
      <c r="F221" s="30">
        <f t="shared" si="10"/>
        <v>0</v>
      </c>
      <c r="G221" s="30">
        <f t="shared" si="10"/>
        <v>0</v>
      </c>
      <c r="H221" s="30">
        <f t="shared" si="10"/>
        <v>0</v>
      </c>
    </row>
    <row r="222" spans="2:8">
      <c r="B222" s="152">
        <f t="shared" si="6"/>
        <v>0</v>
      </c>
      <c r="D222" s="30">
        <v>0</v>
      </c>
      <c r="E222" s="30">
        <f t="shared" si="10"/>
        <v>0</v>
      </c>
      <c r="F222" s="30">
        <f t="shared" si="10"/>
        <v>0</v>
      </c>
      <c r="G222" s="30">
        <f t="shared" si="10"/>
        <v>749875.52500000002</v>
      </c>
      <c r="H222" s="30">
        <f t="shared" si="10"/>
        <v>737165.77033898304</v>
      </c>
    </row>
    <row r="223" spans="2:8">
      <c r="B223" s="152">
        <f t="shared" si="6"/>
        <v>0</v>
      </c>
      <c r="D223" s="30">
        <v>0</v>
      </c>
      <c r="E223" s="30">
        <f t="shared" si="10"/>
        <v>0</v>
      </c>
      <c r="F223" s="30">
        <f t="shared" si="10"/>
        <v>0</v>
      </c>
      <c r="G223" s="30">
        <f t="shared" si="10"/>
        <v>0</v>
      </c>
      <c r="H223" s="30">
        <f t="shared" si="10"/>
        <v>5697683.3083333336</v>
      </c>
    </row>
    <row r="224" spans="2:8">
      <c r="B224" s="152">
        <f t="shared" si="6"/>
        <v>0</v>
      </c>
      <c r="D224" s="30">
        <v>0</v>
      </c>
      <c r="E224" s="30">
        <f t="shared" si="10"/>
        <v>0</v>
      </c>
      <c r="F224" s="30">
        <f t="shared" si="10"/>
        <v>0</v>
      </c>
      <c r="G224" s="30">
        <f t="shared" si="10"/>
        <v>0</v>
      </c>
      <c r="H224" s="30">
        <f t="shared" si="10"/>
        <v>0</v>
      </c>
    </row>
    <row r="225" spans="2:8">
      <c r="B225" s="152">
        <f t="shared" si="6"/>
        <v>0</v>
      </c>
      <c r="D225" s="30">
        <v>0</v>
      </c>
      <c r="E225" s="30">
        <f t="shared" si="10"/>
        <v>0</v>
      </c>
      <c r="F225" s="30">
        <f t="shared" si="10"/>
        <v>899715.55</v>
      </c>
      <c r="G225" s="30">
        <f t="shared" si="10"/>
        <v>799747.1555555556</v>
      </c>
      <c r="H225" s="30">
        <f t="shared" si="10"/>
        <v>699778.76111111115</v>
      </c>
    </row>
    <row r="226" spans="2:8">
      <c r="B226" s="152">
        <f t="shared" si="6"/>
        <v>0</v>
      </c>
      <c r="D226" s="30">
        <v>0</v>
      </c>
      <c r="E226" s="30">
        <f t="shared" si="10"/>
        <v>0</v>
      </c>
      <c r="F226" s="30">
        <f t="shared" si="10"/>
        <v>0</v>
      </c>
      <c r="G226" s="30">
        <f t="shared" si="10"/>
        <v>1402630.35</v>
      </c>
      <c r="H226" s="30">
        <f t="shared" si="10"/>
        <v>1246782.5333333334</v>
      </c>
    </row>
    <row r="227" spans="2:8">
      <c r="B227" s="152">
        <f t="shared" si="6"/>
        <v>0</v>
      </c>
      <c r="D227" s="30">
        <v>0</v>
      </c>
      <c r="E227" s="30">
        <f t="shared" si="10"/>
        <v>0</v>
      </c>
      <c r="F227" s="30">
        <f t="shared" si="10"/>
        <v>0</v>
      </c>
      <c r="G227" s="30">
        <f t="shared" si="10"/>
        <v>0</v>
      </c>
      <c r="H227" s="30">
        <f t="shared" si="10"/>
        <v>1452401.8</v>
      </c>
    </row>
    <row r="228" spans="2:8">
      <c r="B228" s="152">
        <f t="shared" si="6"/>
        <v>0</v>
      </c>
      <c r="D228" s="30">
        <v>0</v>
      </c>
      <c r="E228" s="30">
        <f t="shared" si="10"/>
        <v>0</v>
      </c>
      <c r="F228" s="30">
        <f t="shared" si="10"/>
        <v>0</v>
      </c>
      <c r="G228" s="30">
        <f t="shared" si="10"/>
        <v>0</v>
      </c>
      <c r="H228" s="30">
        <f t="shared" si="10"/>
        <v>0</v>
      </c>
    </row>
    <row r="229" spans="2:8">
      <c r="B229" s="152">
        <f t="shared" si="6"/>
        <v>0</v>
      </c>
      <c r="D229" s="30">
        <v>0</v>
      </c>
      <c r="E229" s="30">
        <f t="shared" si="10"/>
        <v>0</v>
      </c>
      <c r="F229" s="30">
        <f t="shared" si="10"/>
        <v>0</v>
      </c>
      <c r="G229" s="30">
        <f t="shared" si="10"/>
        <v>520501.93333333335</v>
      </c>
      <c r="H229" s="30">
        <f t="shared" si="10"/>
        <v>502553.59080459771</v>
      </c>
    </row>
    <row r="230" spans="2:8">
      <c r="B230" s="152">
        <f t="shared" si="6"/>
        <v>0</v>
      </c>
      <c r="D230" s="30">
        <v>0</v>
      </c>
      <c r="E230" s="30">
        <f t="shared" si="10"/>
        <v>0</v>
      </c>
      <c r="F230" s="30">
        <f t="shared" si="10"/>
        <v>0</v>
      </c>
      <c r="G230" s="30">
        <f t="shared" si="10"/>
        <v>0</v>
      </c>
      <c r="H230" s="30">
        <f t="shared" si="10"/>
        <v>4095492.8666666667</v>
      </c>
    </row>
    <row r="231" spans="2:8">
      <c r="B231" s="152">
        <f t="shared" si="6"/>
        <v>0</v>
      </c>
      <c r="D231" s="30">
        <v>0</v>
      </c>
      <c r="E231" s="30">
        <f t="shared" si="10"/>
        <v>3105944.7978333337</v>
      </c>
      <c r="F231" s="30">
        <f t="shared" si="10"/>
        <v>2998843.2530804602</v>
      </c>
      <c r="G231" s="30">
        <f t="shared" si="10"/>
        <v>2891741.7083275868</v>
      </c>
      <c r="H231" s="30">
        <f t="shared" si="10"/>
        <v>2784640.1635747133</v>
      </c>
    </row>
    <row r="232" spans="2:8">
      <c r="B232" s="152">
        <f t="shared" si="6"/>
        <v>0</v>
      </c>
      <c r="D232" s="30">
        <v>0</v>
      </c>
      <c r="E232" s="30">
        <f t="shared" si="10"/>
        <v>0</v>
      </c>
      <c r="F232" s="30">
        <f t="shared" si="10"/>
        <v>945236.70883333322</v>
      </c>
      <c r="G232" s="30">
        <f t="shared" si="10"/>
        <v>912642.33956321829</v>
      </c>
      <c r="H232" s="30">
        <f t="shared" si="10"/>
        <v>880047.97029310337</v>
      </c>
    </row>
    <row r="233" spans="2:8">
      <c r="B233" s="152">
        <f t="shared" si="6"/>
        <v>0</v>
      </c>
      <c r="D233" s="30">
        <v>0</v>
      </c>
      <c r="E233" s="30">
        <f t="shared" si="10"/>
        <v>1608194.6534999998</v>
      </c>
      <c r="F233" s="30">
        <f t="shared" si="10"/>
        <v>1552739.6654482756</v>
      </c>
      <c r="G233" s="30">
        <f t="shared" si="10"/>
        <v>1497284.6773965515</v>
      </c>
      <c r="H233" s="30">
        <f t="shared" si="10"/>
        <v>1441829.6893448273</v>
      </c>
    </row>
    <row r="234" spans="2:8">
      <c r="B234" s="152">
        <f t="shared" si="6"/>
        <v>0</v>
      </c>
      <c r="D234" s="30">
        <v>0</v>
      </c>
      <c r="E234" s="30">
        <f t="shared" si="10"/>
        <v>0</v>
      </c>
      <c r="F234" s="30">
        <f t="shared" si="10"/>
        <v>2042641.3501666666</v>
      </c>
      <c r="G234" s="30">
        <f t="shared" si="10"/>
        <v>1972205.4415402298</v>
      </c>
      <c r="H234" s="30">
        <f t="shared" si="10"/>
        <v>1901769.5329137931</v>
      </c>
    </row>
    <row r="235" spans="2:8">
      <c r="B235" s="152">
        <f t="shared" si="6"/>
        <v>0</v>
      </c>
      <c r="D235" s="30">
        <v>0</v>
      </c>
      <c r="E235" s="30">
        <f t="shared" si="10"/>
        <v>0</v>
      </c>
      <c r="F235" s="30">
        <f t="shared" si="10"/>
        <v>0</v>
      </c>
      <c r="G235" s="30">
        <f t="shared" si="10"/>
        <v>99218.333333333328</v>
      </c>
      <c r="H235" s="30">
        <f t="shared" si="10"/>
        <v>95797.011494252874</v>
      </c>
    </row>
    <row r="236" spans="2:8">
      <c r="B236" s="152">
        <f t="shared" si="6"/>
        <v>0</v>
      </c>
      <c r="D236" s="30">
        <v>0</v>
      </c>
      <c r="E236" s="30">
        <f t="shared" ref="E236:H251" si="11">D1071</f>
        <v>1585318.7418750003</v>
      </c>
      <c r="F236" s="30">
        <f t="shared" si="11"/>
        <v>1565251.4160284812</v>
      </c>
      <c r="G236" s="30">
        <f t="shared" si="11"/>
        <v>1545184.0901819621</v>
      </c>
      <c r="H236" s="30">
        <f t="shared" si="11"/>
        <v>1525116.764335443</v>
      </c>
    </row>
    <row r="237" spans="2:8">
      <c r="B237" s="152">
        <f t="shared" si="6"/>
        <v>0</v>
      </c>
      <c r="D237" s="30">
        <v>0</v>
      </c>
      <c r="E237" s="30">
        <f t="shared" si="11"/>
        <v>0</v>
      </c>
      <c r="F237" s="30">
        <f t="shared" si="11"/>
        <v>2139510.2506875</v>
      </c>
      <c r="G237" s="30">
        <f t="shared" si="11"/>
        <v>2112427.8424509494</v>
      </c>
      <c r="H237" s="30">
        <f t="shared" si="11"/>
        <v>2085345.4342143987</v>
      </c>
    </row>
    <row r="238" spans="2:8">
      <c r="B238" s="152">
        <f t="shared" si="6"/>
        <v>0</v>
      </c>
      <c r="D238" s="30">
        <v>0</v>
      </c>
      <c r="E238" s="30">
        <f t="shared" si="11"/>
        <v>0</v>
      </c>
      <c r="F238" s="30">
        <f t="shared" si="11"/>
        <v>0</v>
      </c>
      <c r="G238" s="30">
        <f t="shared" si="11"/>
        <v>526622.85</v>
      </c>
      <c r="H238" s="30">
        <f t="shared" si="11"/>
        <v>498905.85789473681</v>
      </c>
    </row>
    <row r="239" spans="2:8">
      <c r="B239" s="152">
        <f t="shared" si="6"/>
        <v>0</v>
      </c>
      <c r="D239" s="30">
        <v>0</v>
      </c>
      <c r="E239" s="30">
        <f t="shared" si="11"/>
        <v>0</v>
      </c>
      <c r="F239" s="30">
        <f t="shared" si="11"/>
        <v>0</v>
      </c>
      <c r="G239" s="30">
        <f t="shared" si="11"/>
        <v>0</v>
      </c>
      <c r="H239" s="30">
        <f t="shared" si="11"/>
        <v>1543098.375</v>
      </c>
    </row>
    <row r="240" spans="2:8">
      <c r="B240" s="152">
        <f t="shared" si="6"/>
        <v>0</v>
      </c>
      <c r="D240" s="30">
        <v>0</v>
      </c>
      <c r="E240" s="30">
        <f t="shared" si="11"/>
        <v>0</v>
      </c>
      <c r="F240" s="30">
        <f t="shared" si="11"/>
        <v>0</v>
      </c>
      <c r="G240" s="30">
        <f t="shared" si="11"/>
        <v>0</v>
      </c>
      <c r="H240" s="30">
        <f t="shared" si="11"/>
        <v>0</v>
      </c>
    </row>
    <row r="241" spans="2:8">
      <c r="B241" s="152">
        <f t="shared" si="6"/>
        <v>0</v>
      </c>
      <c r="D241" s="30">
        <v>0</v>
      </c>
      <c r="E241" s="30">
        <f t="shared" si="11"/>
        <v>173049.89324999999</v>
      </c>
      <c r="F241" s="30">
        <f t="shared" si="11"/>
        <v>163942.00413157896</v>
      </c>
      <c r="G241" s="30">
        <f t="shared" si="11"/>
        <v>154834.11501315789</v>
      </c>
      <c r="H241" s="30">
        <f t="shared" si="11"/>
        <v>145726.22589473682</v>
      </c>
    </row>
    <row r="242" spans="2:8">
      <c r="B242" s="152">
        <f t="shared" si="6"/>
        <v>0</v>
      </c>
      <c r="D242" s="30">
        <v>0</v>
      </c>
      <c r="E242" s="30">
        <f t="shared" si="11"/>
        <v>0</v>
      </c>
      <c r="F242" s="30">
        <f t="shared" si="11"/>
        <v>226641.44100000002</v>
      </c>
      <c r="G242" s="30">
        <f t="shared" si="11"/>
        <v>214712.94410526319</v>
      </c>
      <c r="H242" s="30">
        <f t="shared" si="11"/>
        <v>202784.44721052636</v>
      </c>
    </row>
    <row r="243" spans="2:8">
      <c r="B243" s="152">
        <f t="shared" si="6"/>
        <v>0</v>
      </c>
      <c r="D243" s="30">
        <v>0</v>
      </c>
      <c r="E243" s="30">
        <f t="shared" si="11"/>
        <v>0</v>
      </c>
      <c r="F243" s="30">
        <f t="shared" si="11"/>
        <v>0</v>
      </c>
      <c r="G243" s="30">
        <f t="shared" si="11"/>
        <v>2251664.0249999999</v>
      </c>
      <c r="H243" s="30">
        <f t="shared" si="11"/>
        <v>2133155.3921052632</v>
      </c>
    </row>
    <row r="244" spans="2:8">
      <c r="B244" s="152">
        <f t="shared" si="6"/>
        <v>0</v>
      </c>
      <c r="D244" s="30">
        <v>0</v>
      </c>
      <c r="E244" s="30">
        <f t="shared" si="11"/>
        <v>0</v>
      </c>
      <c r="F244" s="30">
        <f t="shared" si="11"/>
        <v>0</v>
      </c>
      <c r="G244" s="30">
        <f t="shared" si="11"/>
        <v>0</v>
      </c>
      <c r="H244" s="30">
        <f t="shared" si="11"/>
        <v>141489.07500000001</v>
      </c>
    </row>
    <row r="245" spans="2:8">
      <c r="B245" s="152">
        <f t="shared" si="6"/>
        <v>0</v>
      </c>
      <c r="D245" s="30">
        <v>0</v>
      </c>
      <c r="E245" s="30">
        <f t="shared" si="11"/>
        <v>0</v>
      </c>
      <c r="F245" s="30">
        <f t="shared" si="11"/>
        <v>0</v>
      </c>
      <c r="G245" s="30">
        <f t="shared" si="11"/>
        <v>0</v>
      </c>
      <c r="H245" s="30">
        <f t="shared" si="11"/>
        <v>1379626.10625</v>
      </c>
    </row>
    <row r="246" spans="2:8">
      <c r="B246" s="152">
        <f t="shared" si="6"/>
        <v>0</v>
      </c>
      <c r="D246" s="30">
        <v>0</v>
      </c>
      <c r="E246" s="30">
        <f t="shared" si="11"/>
        <v>0</v>
      </c>
      <c r="F246" s="30">
        <f t="shared" si="11"/>
        <v>0</v>
      </c>
      <c r="G246" s="30">
        <f t="shared" si="11"/>
        <v>0</v>
      </c>
      <c r="H246" s="30">
        <f t="shared" si="11"/>
        <v>0</v>
      </c>
    </row>
    <row r="247" spans="2:8">
      <c r="B247" s="152">
        <f t="shared" si="6"/>
        <v>0</v>
      </c>
      <c r="D247" s="30">
        <v>0</v>
      </c>
      <c r="E247" s="30">
        <f t="shared" si="11"/>
        <v>240593.15</v>
      </c>
      <c r="F247" s="30">
        <f t="shared" si="11"/>
        <v>232296.83448275863</v>
      </c>
      <c r="G247" s="30">
        <f t="shared" si="11"/>
        <v>224000.51896551726</v>
      </c>
      <c r="H247" s="30">
        <f t="shared" si="11"/>
        <v>215704.20344827589</v>
      </c>
    </row>
    <row r="248" spans="2:8">
      <c r="B248" s="152">
        <f t="shared" si="6"/>
        <v>0</v>
      </c>
      <c r="D248" s="30">
        <v>0</v>
      </c>
      <c r="E248" s="30">
        <f t="shared" si="11"/>
        <v>0</v>
      </c>
      <c r="F248" s="30">
        <f t="shared" si="11"/>
        <v>2330280.7068333337</v>
      </c>
      <c r="G248" s="30">
        <f t="shared" si="11"/>
        <v>2249926.1997011499</v>
      </c>
      <c r="H248" s="30">
        <f t="shared" si="11"/>
        <v>2169571.6925689662</v>
      </c>
    </row>
    <row r="249" spans="2:8">
      <c r="B249" s="152">
        <f t="shared" si="6"/>
        <v>0</v>
      </c>
      <c r="D249" s="30">
        <v>0</v>
      </c>
      <c r="E249" s="30">
        <f t="shared" si="11"/>
        <v>0</v>
      </c>
      <c r="F249" s="30">
        <f t="shared" si="11"/>
        <v>0</v>
      </c>
      <c r="G249" s="30">
        <f t="shared" si="11"/>
        <v>265561.95</v>
      </c>
      <c r="H249" s="30">
        <f t="shared" si="11"/>
        <v>256404.64137931034</v>
      </c>
    </row>
    <row r="250" spans="2:8">
      <c r="B250" s="152">
        <f t="shared" si="6"/>
        <v>0</v>
      </c>
      <c r="D250" s="30">
        <v>0</v>
      </c>
      <c r="E250" s="30">
        <f t="shared" si="11"/>
        <v>0</v>
      </c>
      <c r="F250" s="30">
        <f t="shared" si="11"/>
        <v>0</v>
      </c>
      <c r="G250" s="30">
        <f t="shared" si="11"/>
        <v>0</v>
      </c>
      <c r="H250" s="30">
        <f t="shared" si="11"/>
        <v>1433422.7</v>
      </c>
    </row>
    <row r="251" spans="2:8">
      <c r="B251" s="152">
        <f t="shared" ref="B251:B314" si="12">B85</f>
        <v>0</v>
      </c>
      <c r="D251" s="30">
        <v>0</v>
      </c>
      <c r="E251" s="30">
        <f t="shared" si="11"/>
        <v>0</v>
      </c>
      <c r="F251" s="30">
        <f t="shared" si="11"/>
        <v>0</v>
      </c>
      <c r="G251" s="30">
        <f t="shared" si="11"/>
        <v>0</v>
      </c>
      <c r="H251" s="30">
        <f t="shared" si="11"/>
        <v>0</v>
      </c>
    </row>
    <row r="252" spans="2:8">
      <c r="B252" s="152">
        <f t="shared" si="12"/>
        <v>0</v>
      </c>
      <c r="D252" s="30">
        <v>0</v>
      </c>
      <c r="E252" s="30">
        <f t="shared" ref="E252:H267" si="13">D1087</f>
        <v>407111.59416666668</v>
      </c>
      <c r="F252" s="30">
        <f t="shared" si="13"/>
        <v>400211.39765536727</v>
      </c>
      <c r="G252" s="30">
        <f t="shared" si="13"/>
        <v>393311.20114406786</v>
      </c>
      <c r="H252" s="30">
        <f t="shared" si="13"/>
        <v>386411.00463276845</v>
      </c>
    </row>
    <row r="253" spans="2:8">
      <c r="B253" s="152">
        <f t="shared" si="12"/>
        <v>0</v>
      </c>
      <c r="D253" s="30">
        <v>0</v>
      </c>
      <c r="E253" s="30">
        <f t="shared" si="13"/>
        <v>0</v>
      </c>
      <c r="F253" s="30">
        <f t="shared" si="13"/>
        <v>167294.76166666666</v>
      </c>
      <c r="G253" s="30">
        <f t="shared" si="13"/>
        <v>164459.25723163842</v>
      </c>
      <c r="H253" s="30">
        <f t="shared" si="13"/>
        <v>161623.75279661018</v>
      </c>
    </row>
    <row r="254" spans="2:8">
      <c r="B254" s="152">
        <f t="shared" si="12"/>
        <v>0</v>
      </c>
      <c r="D254" s="30">
        <v>0</v>
      </c>
      <c r="E254" s="30">
        <f t="shared" si="13"/>
        <v>0</v>
      </c>
      <c r="F254" s="30">
        <f t="shared" si="13"/>
        <v>0</v>
      </c>
      <c r="G254" s="30">
        <f t="shared" si="13"/>
        <v>1613548.7666666666</v>
      </c>
      <c r="H254" s="30">
        <f t="shared" si="13"/>
        <v>1586200.4824858757</v>
      </c>
    </row>
    <row r="255" spans="2:8">
      <c r="B255" s="152">
        <f t="shared" si="12"/>
        <v>0</v>
      </c>
      <c r="D255" s="30">
        <v>0</v>
      </c>
      <c r="E255" s="30">
        <f t="shared" si="13"/>
        <v>1964231.8400833334</v>
      </c>
      <c r="F255" s="30">
        <f t="shared" si="13"/>
        <v>1930939.7749971752</v>
      </c>
      <c r="G255" s="30">
        <f t="shared" si="13"/>
        <v>1897647.709911017</v>
      </c>
      <c r="H255" s="30">
        <f t="shared" si="13"/>
        <v>1864355.6448248588</v>
      </c>
    </row>
    <row r="256" spans="2:8">
      <c r="B256" s="152">
        <f t="shared" si="12"/>
        <v>0</v>
      </c>
      <c r="D256" s="30">
        <v>0</v>
      </c>
      <c r="E256" s="30">
        <f t="shared" si="13"/>
        <v>0</v>
      </c>
      <c r="F256" s="30">
        <f t="shared" si="13"/>
        <v>45247.39974999999</v>
      </c>
      <c r="G256" s="30">
        <f t="shared" si="13"/>
        <v>44480.494669491512</v>
      </c>
      <c r="H256" s="30">
        <f t="shared" si="13"/>
        <v>43713.589588983035</v>
      </c>
    </row>
    <row r="257" spans="2:8">
      <c r="B257" s="152">
        <f t="shared" si="12"/>
        <v>0</v>
      </c>
      <c r="D257" s="30">
        <v>0</v>
      </c>
      <c r="E257" s="30">
        <f t="shared" si="13"/>
        <v>286500.38081249996</v>
      </c>
      <c r="F257" s="30">
        <f t="shared" si="13"/>
        <v>282873.79371360753</v>
      </c>
      <c r="G257" s="30">
        <f t="shared" si="13"/>
        <v>279247.20661471511</v>
      </c>
      <c r="H257" s="30">
        <f t="shared" si="13"/>
        <v>275620.61951582268</v>
      </c>
    </row>
    <row r="258" spans="2:8">
      <c r="B258" s="152">
        <f t="shared" si="12"/>
        <v>0</v>
      </c>
      <c r="D258" s="30">
        <v>0</v>
      </c>
      <c r="E258" s="30">
        <f t="shared" si="13"/>
        <v>0</v>
      </c>
      <c r="F258" s="30">
        <f t="shared" si="13"/>
        <v>170089.81275000001</v>
      </c>
      <c r="G258" s="30">
        <f t="shared" si="13"/>
        <v>167936.77714556962</v>
      </c>
      <c r="H258" s="30">
        <f t="shared" si="13"/>
        <v>165783.74154113923</v>
      </c>
    </row>
    <row r="259" spans="2:8">
      <c r="B259" s="152">
        <f t="shared" si="12"/>
        <v>0</v>
      </c>
      <c r="D259" s="30">
        <v>0</v>
      </c>
      <c r="E259" s="30">
        <f t="shared" si="13"/>
        <v>0</v>
      </c>
      <c r="F259" s="30">
        <f t="shared" si="13"/>
        <v>0</v>
      </c>
      <c r="G259" s="30">
        <f t="shared" si="13"/>
        <v>429400.36875000002</v>
      </c>
      <c r="H259" s="30">
        <f t="shared" si="13"/>
        <v>423964.9210443038</v>
      </c>
    </row>
    <row r="260" spans="2:8">
      <c r="B260" s="152">
        <f t="shared" si="12"/>
        <v>0</v>
      </c>
      <c r="D260" s="30">
        <v>0</v>
      </c>
      <c r="E260" s="30">
        <f t="shared" si="13"/>
        <v>0</v>
      </c>
      <c r="F260" s="30">
        <f t="shared" si="13"/>
        <v>0</v>
      </c>
      <c r="G260" s="30">
        <f t="shared" si="13"/>
        <v>0</v>
      </c>
      <c r="H260" s="30">
        <f t="shared" si="13"/>
        <v>441480.39374999999</v>
      </c>
    </row>
    <row r="261" spans="2:8">
      <c r="B261" s="152">
        <f t="shared" si="12"/>
        <v>0</v>
      </c>
      <c r="D261" s="30">
        <v>0</v>
      </c>
      <c r="E261" s="30">
        <f t="shared" si="13"/>
        <v>0</v>
      </c>
      <c r="F261" s="30">
        <f t="shared" si="13"/>
        <v>0</v>
      </c>
      <c r="G261" s="30">
        <f t="shared" si="13"/>
        <v>0</v>
      </c>
      <c r="H261" s="30">
        <f t="shared" si="13"/>
        <v>0</v>
      </c>
    </row>
    <row r="262" spans="2:8">
      <c r="B262" s="152">
        <f t="shared" si="12"/>
        <v>0</v>
      </c>
      <c r="D262" s="30">
        <v>0</v>
      </c>
      <c r="E262" s="30">
        <f t="shared" si="13"/>
        <v>0</v>
      </c>
      <c r="F262" s="30">
        <f t="shared" si="13"/>
        <v>0</v>
      </c>
      <c r="G262" s="30">
        <f t="shared" si="13"/>
        <v>0</v>
      </c>
      <c r="H262" s="30">
        <f t="shared" si="13"/>
        <v>108287.4</v>
      </c>
    </row>
    <row r="263" spans="2:8">
      <c r="B263" s="152">
        <f t="shared" si="12"/>
        <v>0</v>
      </c>
      <c r="D263" s="30">
        <v>0</v>
      </c>
      <c r="E263" s="30">
        <f t="shared" si="13"/>
        <v>0</v>
      </c>
      <c r="F263" s="30">
        <f t="shared" si="13"/>
        <v>0</v>
      </c>
      <c r="G263" s="30">
        <f t="shared" si="13"/>
        <v>0</v>
      </c>
      <c r="H263" s="30">
        <f t="shared" si="13"/>
        <v>0</v>
      </c>
    </row>
    <row r="264" spans="2:8">
      <c r="B264" s="152">
        <f t="shared" si="12"/>
        <v>0</v>
      </c>
      <c r="D264" s="30">
        <v>0</v>
      </c>
      <c r="E264" s="30">
        <f t="shared" si="13"/>
        <v>0</v>
      </c>
      <c r="F264" s="30">
        <f t="shared" si="13"/>
        <v>0</v>
      </c>
      <c r="G264" s="30">
        <f t="shared" si="13"/>
        <v>320718.38400244946</v>
      </c>
      <c r="H264" s="30">
        <f t="shared" si="13"/>
        <v>309659.12938167533</v>
      </c>
    </row>
    <row r="265" spans="2:8">
      <c r="B265" s="152">
        <f t="shared" si="12"/>
        <v>0</v>
      </c>
      <c r="D265" s="30">
        <v>0</v>
      </c>
      <c r="E265" s="30">
        <f t="shared" si="13"/>
        <v>0</v>
      </c>
      <c r="F265" s="30">
        <f t="shared" si="13"/>
        <v>0</v>
      </c>
      <c r="G265" s="30">
        <f t="shared" si="13"/>
        <v>0</v>
      </c>
      <c r="H265" s="30">
        <f t="shared" si="13"/>
        <v>329065.3508932938</v>
      </c>
    </row>
    <row r="266" spans="2:8">
      <c r="B266" s="152">
        <f t="shared" si="12"/>
        <v>0</v>
      </c>
      <c r="D266" s="30">
        <v>0</v>
      </c>
      <c r="E266" s="30">
        <f t="shared" si="13"/>
        <v>0</v>
      </c>
      <c r="F266" s="30">
        <f t="shared" si="13"/>
        <v>0</v>
      </c>
      <c r="G266" s="30">
        <f t="shared" si="13"/>
        <v>0</v>
      </c>
      <c r="H266" s="30">
        <f t="shared" si="13"/>
        <v>0</v>
      </c>
    </row>
    <row r="267" spans="2:8">
      <c r="B267" s="152">
        <f t="shared" si="12"/>
        <v>0</v>
      </c>
      <c r="D267" s="30">
        <v>0</v>
      </c>
      <c r="E267" s="30">
        <f t="shared" si="13"/>
        <v>0</v>
      </c>
      <c r="F267" s="30">
        <f t="shared" si="13"/>
        <v>0</v>
      </c>
      <c r="G267" s="30">
        <f t="shared" si="13"/>
        <v>0</v>
      </c>
      <c r="H267" s="30">
        <f t="shared" si="13"/>
        <v>423201.1</v>
      </c>
    </row>
    <row r="268" spans="2:8">
      <c r="B268" s="152">
        <f t="shared" si="12"/>
        <v>0</v>
      </c>
      <c r="D268" s="30">
        <v>0</v>
      </c>
      <c r="E268" s="30">
        <f t="shared" ref="E268:H283" si="14">D1103</f>
        <v>0</v>
      </c>
      <c r="F268" s="30">
        <f t="shared" si="14"/>
        <v>0</v>
      </c>
      <c r="G268" s="30">
        <f t="shared" si="14"/>
        <v>0</v>
      </c>
      <c r="H268" s="30">
        <f t="shared" si="14"/>
        <v>0</v>
      </c>
    </row>
    <row r="269" spans="2:8">
      <c r="B269" s="152">
        <f t="shared" si="12"/>
        <v>0</v>
      </c>
      <c r="D269" s="30">
        <v>0</v>
      </c>
      <c r="E269" s="30">
        <f t="shared" si="14"/>
        <v>92397.6328125</v>
      </c>
      <c r="F269" s="30">
        <f t="shared" si="14"/>
        <v>91228.042523734184</v>
      </c>
      <c r="G269" s="30">
        <f t="shared" si="14"/>
        <v>90058.452234968368</v>
      </c>
      <c r="H269" s="30">
        <f t="shared" si="14"/>
        <v>88888.861946202553</v>
      </c>
    </row>
    <row r="270" spans="2:8">
      <c r="B270" s="152">
        <f t="shared" si="12"/>
        <v>0</v>
      </c>
      <c r="D270" s="30">
        <v>0</v>
      </c>
      <c r="E270" s="30">
        <f t="shared" si="14"/>
        <v>0</v>
      </c>
      <c r="F270" s="30">
        <f t="shared" si="14"/>
        <v>733791.68793749996</v>
      </c>
      <c r="G270" s="30">
        <f t="shared" si="14"/>
        <v>724503.18555854424</v>
      </c>
      <c r="H270" s="30">
        <f t="shared" si="14"/>
        <v>715214.68317958852</v>
      </c>
    </row>
    <row r="271" spans="2:8">
      <c r="B271" s="152">
        <f t="shared" si="12"/>
        <v>0</v>
      </c>
      <c r="D271" s="30">
        <v>0</v>
      </c>
      <c r="E271" s="30">
        <f t="shared" si="14"/>
        <v>798675.31274999992</v>
      </c>
      <c r="F271" s="30">
        <f t="shared" si="14"/>
        <v>785138.44304237282</v>
      </c>
      <c r="G271" s="30">
        <f t="shared" si="14"/>
        <v>771601.57333474571</v>
      </c>
      <c r="H271" s="30">
        <f t="shared" si="14"/>
        <v>758064.70362711861</v>
      </c>
    </row>
    <row r="272" spans="2:8">
      <c r="B272" s="152">
        <f t="shared" si="12"/>
        <v>0</v>
      </c>
      <c r="D272" s="30">
        <v>0</v>
      </c>
      <c r="E272" s="30">
        <f t="shared" si="14"/>
        <v>0</v>
      </c>
      <c r="F272" s="30">
        <f t="shared" si="14"/>
        <v>21984.030249999996</v>
      </c>
      <c r="G272" s="30">
        <f t="shared" si="14"/>
        <v>21611.419567796605</v>
      </c>
      <c r="H272" s="30">
        <f t="shared" si="14"/>
        <v>21238.808885593215</v>
      </c>
    </row>
    <row r="273" spans="2:8">
      <c r="B273" s="152">
        <f t="shared" si="12"/>
        <v>0</v>
      </c>
      <c r="D273" s="30">
        <v>0</v>
      </c>
      <c r="E273" s="30">
        <f t="shared" si="14"/>
        <v>530349.11475000007</v>
      </c>
      <c r="F273" s="30">
        <f t="shared" si="14"/>
        <v>521360.14670338988</v>
      </c>
      <c r="G273" s="30">
        <f t="shared" si="14"/>
        <v>512371.1786567797</v>
      </c>
      <c r="H273" s="30">
        <f t="shared" si="14"/>
        <v>503382.21061016951</v>
      </c>
    </row>
    <row r="274" spans="2:8">
      <c r="B274" s="152">
        <f t="shared" si="12"/>
        <v>0</v>
      </c>
      <c r="D274" s="30">
        <v>0</v>
      </c>
      <c r="E274" s="30">
        <f t="shared" si="14"/>
        <v>0</v>
      </c>
      <c r="F274" s="30">
        <f t="shared" si="14"/>
        <v>163074.80349999998</v>
      </c>
      <c r="G274" s="30">
        <f t="shared" si="14"/>
        <v>160310.823779661</v>
      </c>
      <c r="H274" s="30">
        <f t="shared" si="14"/>
        <v>157546.84405932203</v>
      </c>
    </row>
    <row r="275" spans="2:8">
      <c r="B275" s="152">
        <f t="shared" si="12"/>
        <v>0</v>
      </c>
      <c r="D275" s="30">
        <v>0</v>
      </c>
      <c r="E275" s="30">
        <f t="shared" si="14"/>
        <v>0</v>
      </c>
      <c r="F275" s="30">
        <f t="shared" si="14"/>
        <v>0</v>
      </c>
      <c r="G275" s="30">
        <f t="shared" si="14"/>
        <v>641436.76800489891</v>
      </c>
      <c r="H275" s="30">
        <f t="shared" si="14"/>
        <v>619318.25876335066</v>
      </c>
    </row>
    <row r="276" spans="2:8">
      <c r="B276" s="152">
        <f t="shared" si="12"/>
        <v>0</v>
      </c>
      <c r="D276" s="30">
        <v>0</v>
      </c>
      <c r="E276" s="30">
        <f t="shared" si="14"/>
        <v>16333.454083333339</v>
      </c>
      <c r="F276" s="30">
        <f t="shared" si="14"/>
        <v>16056.61587853108</v>
      </c>
      <c r="G276" s="30">
        <f t="shared" si="14"/>
        <v>15779.77767372882</v>
      </c>
      <c r="H276" s="30">
        <f t="shared" si="14"/>
        <v>15502.939468926561</v>
      </c>
    </row>
    <row r="277" spans="2:8">
      <c r="B277" s="152">
        <f t="shared" si="12"/>
        <v>0</v>
      </c>
      <c r="D277" s="30">
        <v>0</v>
      </c>
      <c r="E277" s="30">
        <f t="shared" si="14"/>
        <v>0</v>
      </c>
      <c r="F277" s="30">
        <f t="shared" si="14"/>
        <v>182762.53636666667</v>
      </c>
      <c r="G277" s="30">
        <f t="shared" si="14"/>
        <v>179664.86625875707</v>
      </c>
      <c r="H277" s="30">
        <f t="shared" si="14"/>
        <v>176567.19615084748</v>
      </c>
    </row>
    <row r="278" spans="2:8">
      <c r="B278" s="152">
        <f t="shared" si="12"/>
        <v>0</v>
      </c>
      <c r="D278" s="30">
        <v>0</v>
      </c>
      <c r="E278" s="30">
        <f t="shared" si="14"/>
        <v>0</v>
      </c>
      <c r="F278" s="30">
        <f t="shared" si="14"/>
        <v>0</v>
      </c>
      <c r="G278" s="30">
        <f t="shared" si="14"/>
        <v>214249.58333333334</v>
      </c>
      <c r="H278" s="30">
        <f t="shared" si="14"/>
        <v>210618.23446327684</v>
      </c>
    </row>
    <row r="279" spans="2:8">
      <c r="B279" s="152">
        <f t="shared" si="12"/>
        <v>0</v>
      </c>
      <c r="D279" s="30">
        <v>0</v>
      </c>
      <c r="E279" s="30">
        <f t="shared" si="14"/>
        <v>155371.73516666671</v>
      </c>
      <c r="F279" s="30">
        <f t="shared" si="14"/>
        <v>152738.31592655371</v>
      </c>
      <c r="G279" s="30">
        <f t="shared" si="14"/>
        <v>150104.89668644071</v>
      </c>
      <c r="H279" s="30">
        <f t="shared" si="14"/>
        <v>147471.47744632771</v>
      </c>
    </row>
    <row r="280" spans="2:8">
      <c r="B280" s="152">
        <f t="shared" si="12"/>
        <v>0</v>
      </c>
      <c r="D280" s="30">
        <v>0</v>
      </c>
      <c r="E280" s="30">
        <f t="shared" si="14"/>
        <v>0</v>
      </c>
      <c r="F280" s="30">
        <f t="shared" si="14"/>
        <v>114389.345</v>
      </c>
      <c r="G280" s="30">
        <f t="shared" si="14"/>
        <v>112450.54254237289</v>
      </c>
      <c r="H280" s="30">
        <f t="shared" si="14"/>
        <v>110511.74008474578</v>
      </c>
    </row>
    <row r="281" spans="2:8">
      <c r="B281" s="152">
        <f t="shared" si="12"/>
        <v>0</v>
      </c>
      <c r="D281" s="30">
        <v>0</v>
      </c>
      <c r="E281" s="30">
        <f t="shared" si="14"/>
        <v>0</v>
      </c>
      <c r="F281" s="30">
        <f t="shared" si="14"/>
        <v>0</v>
      </c>
      <c r="G281" s="30">
        <f t="shared" si="14"/>
        <v>0</v>
      </c>
      <c r="H281" s="30">
        <f t="shared" si="14"/>
        <v>259514.20833333334</v>
      </c>
    </row>
    <row r="282" spans="2:8">
      <c r="B282" s="152">
        <f t="shared" si="12"/>
        <v>0</v>
      </c>
      <c r="D282" s="30">
        <v>0</v>
      </c>
      <c r="E282" s="30">
        <f t="shared" si="14"/>
        <v>119951.48433333341</v>
      </c>
      <c r="F282" s="30">
        <f t="shared" si="14"/>
        <v>117918.40832768369</v>
      </c>
      <c r="G282" s="30">
        <f t="shared" si="14"/>
        <v>115885.33232203397</v>
      </c>
      <c r="H282" s="30">
        <f t="shared" si="14"/>
        <v>113852.25631638424</v>
      </c>
    </row>
    <row r="283" spans="2:8">
      <c r="B283" s="152">
        <f t="shared" si="12"/>
        <v>0</v>
      </c>
      <c r="D283" s="30">
        <v>0</v>
      </c>
      <c r="E283" s="30">
        <f t="shared" si="14"/>
        <v>99850.757999999973</v>
      </c>
      <c r="F283" s="30">
        <f t="shared" si="14"/>
        <v>98158.37227118641</v>
      </c>
      <c r="G283" s="30">
        <f t="shared" si="14"/>
        <v>96465.986542372848</v>
      </c>
      <c r="H283" s="30">
        <f t="shared" si="14"/>
        <v>94773.600813559286</v>
      </c>
    </row>
    <row r="284" spans="2:8">
      <c r="B284" s="152">
        <f t="shared" si="12"/>
        <v>0</v>
      </c>
      <c r="D284" s="30">
        <v>0</v>
      </c>
      <c r="E284" s="30">
        <f t="shared" ref="E284:H299" si="15">D1119</f>
        <v>70306.749187500012</v>
      </c>
      <c r="F284" s="30">
        <f t="shared" si="15"/>
        <v>69416.790337025333</v>
      </c>
      <c r="G284" s="30">
        <f t="shared" si="15"/>
        <v>68526.831486550655</v>
      </c>
      <c r="H284" s="30">
        <f t="shared" si="15"/>
        <v>67636.872636075976</v>
      </c>
    </row>
    <row r="285" spans="2:8">
      <c r="B285" s="152">
        <f t="shared" si="12"/>
        <v>0</v>
      </c>
      <c r="D285" s="30">
        <v>0</v>
      </c>
      <c r="E285" s="30">
        <f t="shared" si="15"/>
        <v>135279.24950000003</v>
      </c>
      <c r="F285" s="30">
        <f t="shared" si="15"/>
        <v>120248.22177777781</v>
      </c>
      <c r="G285" s="30">
        <f t="shared" si="15"/>
        <v>105217.19405555559</v>
      </c>
      <c r="H285" s="30">
        <f t="shared" si="15"/>
        <v>90186.166333333371</v>
      </c>
    </row>
    <row r="286" spans="2:8">
      <c r="B286" s="152">
        <f t="shared" si="12"/>
        <v>0</v>
      </c>
      <c r="D286" s="30">
        <v>0</v>
      </c>
      <c r="E286" s="30">
        <f t="shared" si="15"/>
        <v>22327.875</v>
      </c>
      <c r="F286" s="30">
        <f t="shared" si="15"/>
        <v>16745.90625</v>
      </c>
      <c r="G286" s="30">
        <f t="shared" si="15"/>
        <v>11163.9375</v>
      </c>
      <c r="H286" s="30">
        <f t="shared" si="15"/>
        <v>5581.96875</v>
      </c>
    </row>
    <row r="287" spans="2:8">
      <c r="B287" s="152">
        <f t="shared" si="12"/>
        <v>0</v>
      </c>
      <c r="D287" s="30">
        <v>0</v>
      </c>
      <c r="E287" s="30">
        <f t="shared" si="15"/>
        <v>0</v>
      </c>
      <c r="F287" s="30">
        <f t="shared" si="15"/>
        <v>207833.33333333334</v>
      </c>
      <c r="G287" s="30">
        <f t="shared" si="15"/>
        <v>192988.09523809524</v>
      </c>
      <c r="H287" s="30">
        <f t="shared" si="15"/>
        <v>178142.85714285713</v>
      </c>
    </row>
    <row r="288" spans="2:8">
      <c r="B288" s="152">
        <f t="shared" si="12"/>
        <v>0</v>
      </c>
      <c r="D288" s="30">
        <v>0</v>
      </c>
      <c r="E288" s="30">
        <f t="shared" si="15"/>
        <v>517502.98799999995</v>
      </c>
      <c r="F288" s="30">
        <f t="shared" si="15"/>
        <v>388127.24099999998</v>
      </c>
      <c r="G288" s="30">
        <f t="shared" si="15"/>
        <v>258751.49400000001</v>
      </c>
      <c r="H288" s="30">
        <f t="shared" si="15"/>
        <v>129375.747</v>
      </c>
    </row>
    <row r="289" spans="2:8">
      <c r="B289" s="152">
        <f t="shared" si="12"/>
        <v>0</v>
      </c>
      <c r="D289" s="30">
        <v>0</v>
      </c>
      <c r="E289" s="30">
        <f t="shared" si="15"/>
        <v>0</v>
      </c>
      <c r="F289" s="30">
        <f t="shared" si="15"/>
        <v>377550.00000000006</v>
      </c>
      <c r="G289" s="30">
        <f t="shared" si="15"/>
        <v>283162.50000000006</v>
      </c>
      <c r="H289" s="30">
        <f t="shared" si="15"/>
        <v>188775.00000000006</v>
      </c>
    </row>
    <row r="290" spans="2:8">
      <c r="B290" s="152">
        <f t="shared" si="12"/>
        <v>0</v>
      </c>
      <c r="D290" s="30">
        <v>0</v>
      </c>
      <c r="E290" s="30">
        <f t="shared" si="15"/>
        <v>0</v>
      </c>
      <c r="F290" s="30">
        <f t="shared" si="15"/>
        <v>0</v>
      </c>
      <c r="G290" s="30">
        <f t="shared" si="15"/>
        <v>405000</v>
      </c>
      <c r="H290" s="30">
        <f t="shared" si="15"/>
        <v>303750</v>
      </c>
    </row>
    <row r="291" spans="2:8">
      <c r="B291" s="152">
        <f t="shared" si="12"/>
        <v>0</v>
      </c>
      <c r="D291" s="30">
        <v>0</v>
      </c>
      <c r="E291" s="30">
        <f t="shared" si="15"/>
        <v>0</v>
      </c>
      <c r="F291" s="30">
        <f t="shared" si="15"/>
        <v>0</v>
      </c>
      <c r="G291" s="30">
        <f t="shared" si="15"/>
        <v>0</v>
      </c>
      <c r="H291" s="30">
        <f t="shared" si="15"/>
        <v>405000</v>
      </c>
    </row>
    <row r="292" spans="2:8">
      <c r="B292" s="152">
        <f t="shared" si="12"/>
        <v>0</v>
      </c>
      <c r="D292" s="30">
        <v>0</v>
      </c>
      <c r="E292" s="30">
        <f t="shared" si="15"/>
        <v>0</v>
      </c>
      <c r="F292" s="30">
        <f t="shared" si="15"/>
        <v>0</v>
      </c>
      <c r="G292" s="30">
        <f t="shared" si="15"/>
        <v>0</v>
      </c>
      <c r="H292" s="30">
        <f t="shared" si="15"/>
        <v>0</v>
      </c>
    </row>
    <row r="293" spans="2:8">
      <c r="B293" s="152">
        <f t="shared" si="12"/>
        <v>0</v>
      </c>
      <c r="D293" s="30">
        <v>0</v>
      </c>
      <c r="E293" s="30">
        <f t="shared" si="15"/>
        <v>445511.43</v>
      </c>
      <c r="F293" s="30">
        <f t="shared" si="15"/>
        <v>334133.57250000001</v>
      </c>
      <c r="G293" s="30">
        <f t="shared" si="15"/>
        <v>222755.71500000003</v>
      </c>
      <c r="H293" s="30">
        <f t="shared" si="15"/>
        <v>111377.85750000001</v>
      </c>
    </row>
    <row r="294" spans="2:8">
      <c r="B294" s="152">
        <f t="shared" si="12"/>
        <v>0</v>
      </c>
      <c r="D294" s="30">
        <v>0</v>
      </c>
      <c r="E294" s="30">
        <f t="shared" si="15"/>
        <v>0</v>
      </c>
      <c r="F294" s="30">
        <f t="shared" si="15"/>
        <v>532262.5</v>
      </c>
      <c r="G294" s="30">
        <f t="shared" si="15"/>
        <v>518614.74358974356</v>
      </c>
      <c r="H294" s="30">
        <f t="shared" si="15"/>
        <v>504966.98717948713</v>
      </c>
    </row>
    <row r="295" spans="2:8">
      <c r="B295" s="152">
        <f t="shared" si="12"/>
        <v>0</v>
      </c>
      <c r="D295" s="30">
        <v>0</v>
      </c>
      <c r="E295" s="30">
        <f t="shared" si="15"/>
        <v>0</v>
      </c>
      <c r="F295" s="30">
        <f t="shared" si="15"/>
        <v>37656.6535</v>
      </c>
      <c r="G295" s="30">
        <f t="shared" si="15"/>
        <v>36691.09828205128</v>
      </c>
      <c r="H295" s="30">
        <f t="shared" si="15"/>
        <v>35725.54306410256</v>
      </c>
    </row>
    <row r="296" spans="2:8">
      <c r="B296" s="152">
        <f t="shared" si="12"/>
        <v>0</v>
      </c>
      <c r="D296" s="30">
        <v>0</v>
      </c>
      <c r="E296" s="30">
        <f t="shared" si="15"/>
        <v>0</v>
      </c>
      <c r="F296" s="30">
        <f t="shared" si="15"/>
        <v>421638.8</v>
      </c>
      <c r="G296" s="30">
        <f t="shared" si="15"/>
        <v>410827.54871794872</v>
      </c>
      <c r="H296" s="30">
        <f t="shared" si="15"/>
        <v>400016.29743589746</v>
      </c>
    </row>
    <row r="297" spans="2:8">
      <c r="B297" s="152">
        <f t="shared" si="12"/>
        <v>0</v>
      </c>
      <c r="D297" s="30">
        <v>0</v>
      </c>
      <c r="E297" s="30">
        <f t="shared" si="15"/>
        <v>0</v>
      </c>
      <c r="F297" s="30">
        <f t="shared" si="15"/>
        <v>1247889.925</v>
      </c>
      <c r="G297" s="30">
        <f t="shared" si="15"/>
        <v>1215892.7474358976</v>
      </c>
      <c r="H297" s="30">
        <f t="shared" si="15"/>
        <v>1183895.5698717951</v>
      </c>
    </row>
    <row r="298" spans="2:8">
      <c r="B298" s="152">
        <f t="shared" si="12"/>
        <v>0</v>
      </c>
      <c r="D298" s="30">
        <v>0</v>
      </c>
      <c r="E298" s="30">
        <f t="shared" si="15"/>
        <v>0</v>
      </c>
      <c r="F298" s="30">
        <f t="shared" si="15"/>
        <v>512710</v>
      </c>
      <c r="G298" s="30">
        <f t="shared" si="15"/>
        <v>499563.58974358975</v>
      </c>
      <c r="H298" s="30">
        <f t="shared" si="15"/>
        <v>486417.1794871795</v>
      </c>
    </row>
    <row r="299" spans="2:8">
      <c r="B299" s="152">
        <f t="shared" si="12"/>
        <v>0</v>
      </c>
      <c r="D299" s="30">
        <v>0</v>
      </c>
      <c r="E299" s="30">
        <f t="shared" si="15"/>
        <v>0</v>
      </c>
      <c r="F299" s="30">
        <f t="shared" si="15"/>
        <v>320443.75</v>
      </c>
      <c r="G299" s="30">
        <f t="shared" si="15"/>
        <v>312227.24358974356</v>
      </c>
      <c r="H299" s="30">
        <f t="shared" si="15"/>
        <v>304010.73717948713</v>
      </c>
    </row>
    <row r="300" spans="2:8">
      <c r="B300" s="152">
        <f t="shared" si="12"/>
        <v>0</v>
      </c>
      <c r="D300" s="30">
        <v>0</v>
      </c>
      <c r="E300" s="30">
        <f t="shared" ref="E300:H315" si="16">D1135</f>
        <v>62043.707999999984</v>
      </c>
      <c r="F300" s="30">
        <f t="shared" si="16"/>
        <v>61258.344607594918</v>
      </c>
      <c r="G300" s="30">
        <f t="shared" si="16"/>
        <v>60472.981215189851</v>
      </c>
      <c r="H300" s="30">
        <f t="shared" si="16"/>
        <v>59687.617822784785</v>
      </c>
    </row>
    <row r="301" spans="2:8">
      <c r="B301" s="152">
        <f t="shared" si="12"/>
        <v>0</v>
      </c>
      <c r="D301" s="30">
        <v>0</v>
      </c>
      <c r="E301" s="30">
        <f t="shared" si="16"/>
        <v>0</v>
      </c>
      <c r="F301" s="30">
        <f t="shared" si="16"/>
        <v>252000</v>
      </c>
      <c r="G301" s="30">
        <f t="shared" si="16"/>
        <v>189000</v>
      </c>
      <c r="H301" s="30">
        <f t="shared" si="16"/>
        <v>126000</v>
      </c>
    </row>
    <row r="302" spans="2:8">
      <c r="B302" s="152">
        <f t="shared" si="12"/>
        <v>0</v>
      </c>
      <c r="D302" s="30">
        <v>0</v>
      </c>
      <c r="E302" s="30">
        <f t="shared" si="16"/>
        <v>33853.1895</v>
      </c>
      <c r="F302" s="30">
        <f t="shared" si="16"/>
        <v>32071.442684210528</v>
      </c>
      <c r="G302" s="30">
        <f t="shared" si="16"/>
        <v>30289.695868421055</v>
      </c>
      <c r="H302" s="30">
        <f t="shared" si="16"/>
        <v>28507.949052631582</v>
      </c>
    </row>
    <row r="303" spans="2:8">
      <c r="B303" s="152">
        <f t="shared" si="12"/>
        <v>0</v>
      </c>
      <c r="D303" s="30">
        <v>0</v>
      </c>
      <c r="E303" s="30">
        <f t="shared" si="16"/>
        <v>4904.9413125000001</v>
      </c>
      <c r="F303" s="30">
        <f t="shared" si="16"/>
        <v>4842.8534477848107</v>
      </c>
      <c r="G303" s="30">
        <f t="shared" si="16"/>
        <v>4780.7655830696203</v>
      </c>
      <c r="H303" s="30">
        <f t="shared" si="16"/>
        <v>4718.6777183544309</v>
      </c>
    </row>
    <row r="304" spans="2:8">
      <c r="B304" s="152">
        <f t="shared" si="12"/>
        <v>0</v>
      </c>
      <c r="D304" s="30">
        <v>0</v>
      </c>
      <c r="E304" s="30">
        <f t="shared" si="16"/>
        <v>99662.637625000018</v>
      </c>
      <c r="F304" s="30">
        <f t="shared" si="16"/>
        <v>97107.185378205148</v>
      </c>
      <c r="G304" s="30">
        <f t="shared" si="16"/>
        <v>94551.733131410278</v>
      </c>
      <c r="H304" s="30">
        <f t="shared" si="16"/>
        <v>91996.280884615408</v>
      </c>
    </row>
    <row r="305" spans="2:8">
      <c r="B305" s="152">
        <f t="shared" si="12"/>
        <v>0</v>
      </c>
      <c r="D305" s="30">
        <v>0</v>
      </c>
      <c r="E305" s="30">
        <f t="shared" si="16"/>
        <v>8359.6508333333331</v>
      </c>
      <c r="F305" s="30">
        <f t="shared" si="16"/>
        <v>8217.9618361581925</v>
      </c>
      <c r="G305" s="30">
        <f t="shared" si="16"/>
        <v>8076.2728389830509</v>
      </c>
      <c r="H305" s="30">
        <f t="shared" si="16"/>
        <v>7934.5838418079093</v>
      </c>
    </row>
    <row r="306" spans="2:8">
      <c r="B306" s="152">
        <f t="shared" si="12"/>
        <v>0</v>
      </c>
      <c r="D306" s="30">
        <v>0</v>
      </c>
      <c r="E306" s="30">
        <f t="shared" si="16"/>
        <v>34720.035000000011</v>
      </c>
      <c r="F306" s="30">
        <f t="shared" si="16"/>
        <v>34131.559830508486</v>
      </c>
      <c r="G306" s="30">
        <f t="shared" si="16"/>
        <v>33543.084661016961</v>
      </c>
      <c r="H306" s="30">
        <f t="shared" si="16"/>
        <v>32954.609491525436</v>
      </c>
    </row>
    <row r="307" spans="2:8">
      <c r="B307" s="152">
        <f t="shared" si="12"/>
        <v>0</v>
      </c>
      <c r="D307" s="30">
        <v>0</v>
      </c>
      <c r="E307" s="30">
        <f t="shared" si="16"/>
        <v>0</v>
      </c>
      <c r="F307" s="30">
        <f t="shared" si="16"/>
        <v>54541.666666666664</v>
      </c>
      <c r="G307" s="30">
        <f t="shared" si="16"/>
        <v>53617.231638418074</v>
      </c>
      <c r="H307" s="30">
        <f t="shared" si="16"/>
        <v>52692.796610169484</v>
      </c>
    </row>
    <row r="308" spans="2:8">
      <c r="B308" s="152">
        <f t="shared" si="12"/>
        <v>0</v>
      </c>
      <c r="D308" s="30">
        <v>0</v>
      </c>
      <c r="E308" s="30">
        <f t="shared" si="16"/>
        <v>0</v>
      </c>
      <c r="F308" s="30">
        <f t="shared" si="16"/>
        <v>0</v>
      </c>
      <c r="G308" s="30">
        <f t="shared" si="16"/>
        <v>19833.333333333332</v>
      </c>
      <c r="H308" s="30">
        <f t="shared" si="16"/>
        <v>19497.175141242937</v>
      </c>
    </row>
    <row r="309" spans="2:8">
      <c r="B309" s="152">
        <f t="shared" si="12"/>
        <v>0</v>
      </c>
      <c r="D309" s="30">
        <v>0</v>
      </c>
      <c r="E309" s="30">
        <f t="shared" si="16"/>
        <v>0</v>
      </c>
      <c r="F309" s="30">
        <f t="shared" si="16"/>
        <v>0</v>
      </c>
      <c r="G309" s="30">
        <f t="shared" si="16"/>
        <v>0</v>
      </c>
      <c r="H309" s="30">
        <f t="shared" si="16"/>
        <v>19833.333333333332</v>
      </c>
    </row>
    <row r="310" spans="2:8">
      <c r="B310" s="152">
        <f t="shared" si="12"/>
        <v>0</v>
      </c>
      <c r="D310" s="30">
        <v>0</v>
      </c>
      <c r="E310" s="30">
        <f t="shared" si="16"/>
        <v>0</v>
      </c>
      <c r="F310" s="30">
        <f t="shared" si="16"/>
        <v>0</v>
      </c>
      <c r="G310" s="30">
        <f t="shared" si="16"/>
        <v>0</v>
      </c>
      <c r="H310" s="30">
        <f t="shared" si="16"/>
        <v>0</v>
      </c>
    </row>
    <row r="311" spans="2:8">
      <c r="B311" s="152">
        <f t="shared" si="12"/>
        <v>0</v>
      </c>
      <c r="D311" s="30">
        <v>0</v>
      </c>
      <c r="E311" s="30">
        <f t="shared" si="16"/>
        <v>33997.324124999992</v>
      </c>
      <c r="F311" s="30">
        <f t="shared" si="16"/>
        <v>33125.59786538461</v>
      </c>
      <c r="G311" s="30">
        <f t="shared" si="16"/>
        <v>32253.871605769225</v>
      </c>
      <c r="H311" s="30">
        <f t="shared" si="16"/>
        <v>31382.14534615384</v>
      </c>
    </row>
    <row r="312" spans="2:8">
      <c r="B312" s="152">
        <f t="shared" si="12"/>
        <v>0</v>
      </c>
      <c r="D312" s="30">
        <v>0</v>
      </c>
      <c r="E312" s="30">
        <f t="shared" si="16"/>
        <v>1133295.4190833336</v>
      </c>
      <c r="F312" s="30">
        <f t="shared" si="16"/>
        <v>1114087.0221497177</v>
      </c>
      <c r="G312" s="30">
        <f t="shared" si="16"/>
        <v>1094878.6252161018</v>
      </c>
      <c r="H312" s="30">
        <f t="shared" si="16"/>
        <v>1075670.2282824859</v>
      </c>
    </row>
    <row r="313" spans="2:8">
      <c r="B313" s="152">
        <f t="shared" si="12"/>
        <v>0</v>
      </c>
      <c r="D313" s="30">
        <v>0</v>
      </c>
      <c r="E313" s="30">
        <f t="shared" si="16"/>
        <v>0</v>
      </c>
      <c r="F313" s="30">
        <f t="shared" si="16"/>
        <v>20286.525000000001</v>
      </c>
      <c r="G313" s="30">
        <f t="shared" si="16"/>
        <v>19942.68559322034</v>
      </c>
      <c r="H313" s="30">
        <f t="shared" si="16"/>
        <v>19598.846186440678</v>
      </c>
    </row>
    <row r="314" spans="2:8">
      <c r="B314" s="152">
        <f t="shared" si="12"/>
        <v>0</v>
      </c>
      <c r="D314" s="30">
        <v>0</v>
      </c>
      <c r="E314" s="30">
        <f t="shared" si="16"/>
        <v>116639.48400000001</v>
      </c>
      <c r="F314" s="30">
        <f t="shared" si="16"/>
        <v>110500.5637894737</v>
      </c>
      <c r="G314" s="30">
        <f t="shared" si="16"/>
        <v>104361.64357894739</v>
      </c>
      <c r="H314" s="30">
        <f t="shared" si="16"/>
        <v>98222.723368421081</v>
      </c>
    </row>
    <row r="315" spans="2:8">
      <c r="B315" s="152">
        <f t="shared" ref="B315:B350" si="17">B149</f>
        <v>0</v>
      </c>
      <c r="D315" s="30">
        <v>0</v>
      </c>
      <c r="E315" s="30">
        <f t="shared" si="16"/>
        <v>0</v>
      </c>
      <c r="F315" s="30">
        <f t="shared" si="16"/>
        <v>38869.35</v>
      </c>
      <c r="G315" s="30">
        <f t="shared" si="16"/>
        <v>36823.594736842104</v>
      </c>
      <c r="H315" s="30">
        <f t="shared" si="16"/>
        <v>34777.839473684209</v>
      </c>
    </row>
    <row r="316" spans="2:8">
      <c r="B316" s="152">
        <f t="shared" si="17"/>
        <v>0</v>
      </c>
      <c r="D316" s="30">
        <v>0</v>
      </c>
      <c r="E316" s="30">
        <f t="shared" ref="E316:H331" si="18">D1151</f>
        <v>0</v>
      </c>
      <c r="F316" s="30">
        <f t="shared" si="18"/>
        <v>0</v>
      </c>
      <c r="G316" s="30">
        <f t="shared" si="18"/>
        <v>0</v>
      </c>
      <c r="H316" s="30">
        <f t="shared" si="18"/>
        <v>0</v>
      </c>
    </row>
    <row r="317" spans="2:8">
      <c r="B317" s="152">
        <f t="shared" si="17"/>
        <v>0</v>
      </c>
      <c r="D317" s="30">
        <v>0</v>
      </c>
      <c r="E317" s="30">
        <f t="shared" si="18"/>
        <v>120630.59775</v>
      </c>
      <c r="F317" s="30">
        <f t="shared" si="18"/>
        <v>114281.61892105264</v>
      </c>
      <c r="G317" s="30">
        <f t="shared" si="18"/>
        <v>107932.64009210527</v>
      </c>
      <c r="H317" s="30">
        <f t="shared" si="18"/>
        <v>101583.6612631579</v>
      </c>
    </row>
    <row r="318" spans="2:8">
      <c r="B318" s="152">
        <f t="shared" si="17"/>
        <v>0</v>
      </c>
      <c r="D318" s="30">
        <v>0</v>
      </c>
      <c r="E318" s="30">
        <f t="shared" si="18"/>
        <v>0</v>
      </c>
      <c r="F318" s="30">
        <f t="shared" si="18"/>
        <v>920997.03149999992</v>
      </c>
      <c r="G318" s="30">
        <f t="shared" si="18"/>
        <v>872523.50352631568</v>
      </c>
      <c r="H318" s="30">
        <f t="shared" si="18"/>
        <v>824049.97555263143</v>
      </c>
    </row>
    <row r="319" spans="2:8">
      <c r="B319" s="152">
        <f t="shared" si="17"/>
        <v>0</v>
      </c>
      <c r="D319" s="30">
        <v>0</v>
      </c>
      <c r="E319" s="30">
        <f t="shared" si="18"/>
        <v>0</v>
      </c>
      <c r="F319" s="30">
        <f t="shared" si="18"/>
        <v>0</v>
      </c>
      <c r="G319" s="30">
        <f t="shared" si="18"/>
        <v>36752.625</v>
      </c>
      <c r="H319" s="30">
        <f t="shared" si="18"/>
        <v>34818.276315789473</v>
      </c>
    </row>
    <row r="320" spans="2:8">
      <c r="B320" s="152">
        <f t="shared" si="17"/>
        <v>0</v>
      </c>
      <c r="D320" s="30">
        <v>0</v>
      </c>
      <c r="E320" s="30">
        <f t="shared" si="18"/>
        <v>40229.156437500002</v>
      </c>
      <c r="F320" s="30">
        <f t="shared" si="18"/>
        <v>39719.926609177215</v>
      </c>
      <c r="G320" s="30">
        <f t="shared" si="18"/>
        <v>39210.696780854429</v>
      </c>
      <c r="H320" s="30">
        <f t="shared" si="18"/>
        <v>38701.466952531642</v>
      </c>
    </row>
    <row r="321" spans="2:8">
      <c r="B321" s="152">
        <f t="shared" si="17"/>
        <v>0</v>
      </c>
      <c r="D321" s="30">
        <v>0</v>
      </c>
      <c r="E321" s="30">
        <f t="shared" si="18"/>
        <v>100342.99275</v>
      </c>
      <c r="F321" s="30">
        <f t="shared" si="18"/>
        <v>95061.782605263157</v>
      </c>
      <c r="G321" s="30">
        <f t="shared" si="18"/>
        <v>89780.572460526309</v>
      </c>
      <c r="H321" s="30">
        <f t="shared" si="18"/>
        <v>84499.362315789462</v>
      </c>
    </row>
    <row r="322" spans="2:8">
      <c r="B322" s="152">
        <f t="shared" si="17"/>
        <v>0</v>
      </c>
      <c r="D322" s="30">
        <v>0</v>
      </c>
      <c r="E322" s="30">
        <f t="shared" si="18"/>
        <v>795897.76349999954</v>
      </c>
      <c r="F322" s="30">
        <f t="shared" si="18"/>
        <v>782407.9708983046</v>
      </c>
      <c r="G322" s="30">
        <f t="shared" si="18"/>
        <v>768918.17829660967</v>
      </c>
      <c r="H322" s="30">
        <f t="shared" si="18"/>
        <v>755428.38569491473</v>
      </c>
    </row>
    <row r="323" spans="2:8">
      <c r="B323" s="152">
        <f t="shared" si="17"/>
        <v>0</v>
      </c>
      <c r="D323" s="30">
        <v>0</v>
      </c>
      <c r="E323" s="30">
        <f t="shared" si="18"/>
        <v>0</v>
      </c>
      <c r="F323" s="30">
        <f t="shared" si="18"/>
        <v>1196535.7378333332</v>
      </c>
      <c r="G323" s="30">
        <f t="shared" si="18"/>
        <v>1176255.4710903952</v>
      </c>
      <c r="H323" s="30">
        <f t="shared" si="18"/>
        <v>1155975.2043474573</v>
      </c>
    </row>
    <row r="324" spans="2:8">
      <c r="B324" s="152">
        <f t="shared" si="17"/>
        <v>0</v>
      </c>
      <c r="D324" s="30">
        <v>0</v>
      </c>
      <c r="E324" s="30">
        <f t="shared" si="18"/>
        <v>0</v>
      </c>
      <c r="F324" s="30">
        <f t="shared" si="18"/>
        <v>0</v>
      </c>
      <c r="G324" s="30">
        <f t="shared" si="18"/>
        <v>612764.71666666667</v>
      </c>
      <c r="H324" s="30">
        <f t="shared" si="18"/>
        <v>602378.87401129946</v>
      </c>
    </row>
    <row r="325" spans="2:8">
      <c r="B325" s="152">
        <f t="shared" si="17"/>
        <v>0</v>
      </c>
      <c r="D325" s="30">
        <v>0</v>
      </c>
      <c r="E325" s="30">
        <f t="shared" si="18"/>
        <v>10418.112833333333</v>
      </c>
      <c r="F325" s="30">
        <f t="shared" si="18"/>
        <v>10241.534649717514</v>
      </c>
      <c r="G325" s="30">
        <f t="shared" si="18"/>
        <v>10064.956466101696</v>
      </c>
      <c r="H325" s="30">
        <f t="shared" si="18"/>
        <v>9888.3782824858772</v>
      </c>
    </row>
    <row r="326" spans="2:8">
      <c r="B326" s="152">
        <f t="shared" si="17"/>
        <v>0</v>
      </c>
      <c r="D326" s="30">
        <v>0</v>
      </c>
      <c r="E326" s="30">
        <f t="shared" si="18"/>
        <v>0</v>
      </c>
      <c r="F326" s="30">
        <f t="shared" si="18"/>
        <v>223542.49166666667</v>
      </c>
      <c r="G326" s="30">
        <f t="shared" si="18"/>
        <v>219753.63587570621</v>
      </c>
      <c r="H326" s="30">
        <f t="shared" si="18"/>
        <v>215964.78008474575</v>
      </c>
    </row>
    <row r="327" spans="2:8">
      <c r="B327" s="152">
        <f t="shared" si="17"/>
        <v>0</v>
      </c>
      <c r="D327" s="30">
        <v>0</v>
      </c>
      <c r="E327" s="30">
        <f t="shared" si="18"/>
        <v>0</v>
      </c>
      <c r="F327" s="30">
        <f t="shared" si="18"/>
        <v>563728.64681249997</v>
      </c>
      <c r="G327" s="30">
        <f t="shared" si="18"/>
        <v>556592.84115664556</v>
      </c>
      <c r="H327" s="30">
        <f t="shared" si="18"/>
        <v>549457.03550079116</v>
      </c>
    </row>
    <row r="328" spans="2:8">
      <c r="B328" s="152">
        <f t="shared" si="17"/>
        <v>0</v>
      </c>
      <c r="D328" s="30">
        <v>0</v>
      </c>
      <c r="E328" s="30">
        <f t="shared" si="18"/>
        <v>0</v>
      </c>
      <c r="F328" s="30">
        <f t="shared" si="18"/>
        <v>0</v>
      </c>
      <c r="G328" s="30">
        <f t="shared" si="18"/>
        <v>5282611.03125</v>
      </c>
      <c r="H328" s="30">
        <f t="shared" si="18"/>
        <v>5215742.5371835446</v>
      </c>
    </row>
    <row r="329" spans="2:8">
      <c r="B329" s="152">
        <f t="shared" si="17"/>
        <v>0</v>
      </c>
      <c r="D329" s="30">
        <v>0</v>
      </c>
      <c r="E329" s="30">
        <f t="shared" si="18"/>
        <v>0</v>
      </c>
      <c r="F329" s="30">
        <f t="shared" si="18"/>
        <v>0</v>
      </c>
      <c r="G329" s="30">
        <f t="shared" si="18"/>
        <v>0</v>
      </c>
      <c r="H329" s="30">
        <f t="shared" si="18"/>
        <v>12725689.21875</v>
      </c>
    </row>
    <row r="330" spans="2:8">
      <c r="B330" s="152">
        <f t="shared" si="17"/>
        <v>0</v>
      </c>
      <c r="D330" s="30">
        <v>0</v>
      </c>
      <c r="E330" s="30">
        <f t="shared" si="18"/>
        <v>0</v>
      </c>
      <c r="F330" s="30">
        <f t="shared" si="18"/>
        <v>64125</v>
      </c>
      <c r="G330" s="30">
        <f t="shared" si="18"/>
        <v>57000</v>
      </c>
      <c r="H330" s="30">
        <f t="shared" si="18"/>
        <v>49875</v>
      </c>
    </row>
    <row r="331" spans="2:8">
      <c r="B331" s="152">
        <f t="shared" si="17"/>
        <v>0</v>
      </c>
      <c r="D331" s="30">
        <v>0</v>
      </c>
      <c r="E331" s="30">
        <f t="shared" si="18"/>
        <v>0</v>
      </c>
      <c r="F331" s="30">
        <f t="shared" si="18"/>
        <v>748853.34375</v>
      </c>
      <c r="G331" s="30">
        <f t="shared" si="18"/>
        <v>729651.9759615385</v>
      </c>
      <c r="H331" s="30">
        <f t="shared" si="18"/>
        <v>710450.60817307699</v>
      </c>
    </row>
    <row r="332" spans="2:8">
      <c r="B332" s="152" t="str">
        <f t="shared" si="17"/>
        <v>Carndo Year 4 Reduction</v>
      </c>
      <c r="D332" s="30">
        <v>0</v>
      </c>
      <c r="E332" s="30">
        <f t="shared" ref="E332:H347" si="19">D1167</f>
        <v>0</v>
      </c>
      <c r="F332" s="30">
        <f t="shared" si="19"/>
        <v>0</v>
      </c>
      <c r="G332" s="30">
        <f t="shared" si="19"/>
        <v>0</v>
      </c>
      <c r="H332" s="30">
        <f t="shared" si="19"/>
        <v>-7796073.2016507406</v>
      </c>
    </row>
    <row r="333" spans="2:8">
      <c r="B333" s="152" t="str">
        <f t="shared" si="17"/>
        <v>Carndo Year 5 Reduction</v>
      </c>
      <c r="D333" s="30">
        <v>0</v>
      </c>
      <c r="E333" s="30">
        <f t="shared" si="19"/>
        <v>0</v>
      </c>
      <c r="F333" s="30">
        <f t="shared" si="19"/>
        <v>0</v>
      </c>
      <c r="G333" s="30">
        <f t="shared" si="19"/>
        <v>0</v>
      </c>
      <c r="H333" s="30">
        <f t="shared" si="19"/>
        <v>0</v>
      </c>
    </row>
    <row r="334" spans="2:8">
      <c r="B334" s="152">
        <f t="shared" si="17"/>
        <v>0</v>
      </c>
      <c r="D334" s="30">
        <v>0</v>
      </c>
      <c r="E334" s="30">
        <f t="shared" si="19"/>
        <v>0</v>
      </c>
      <c r="F334" s="30">
        <f t="shared" si="19"/>
        <v>0</v>
      </c>
      <c r="G334" s="30">
        <f t="shared" si="19"/>
        <v>0</v>
      </c>
      <c r="H334" s="30">
        <f t="shared" si="19"/>
        <v>0</v>
      </c>
    </row>
    <row r="335" spans="2:8">
      <c r="B335" s="152">
        <f t="shared" si="17"/>
        <v>0</v>
      </c>
      <c r="D335" s="30">
        <v>0</v>
      </c>
      <c r="E335" s="30">
        <f t="shared" si="19"/>
        <v>0</v>
      </c>
      <c r="F335" s="30">
        <f t="shared" si="19"/>
        <v>0</v>
      </c>
      <c r="G335" s="30">
        <f t="shared" si="19"/>
        <v>0</v>
      </c>
      <c r="H335" s="30">
        <f t="shared" si="19"/>
        <v>0</v>
      </c>
    </row>
    <row r="336" spans="2:8">
      <c r="B336" s="152">
        <f t="shared" si="17"/>
        <v>0</v>
      </c>
      <c r="D336" s="30">
        <v>0</v>
      </c>
      <c r="E336" s="30">
        <f t="shared" si="19"/>
        <v>0</v>
      </c>
      <c r="F336" s="30">
        <f t="shared" si="19"/>
        <v>0</v>
      </c>
      <c r="G336" s="30">
        <f t="shared" si="19"/>
        <v>0</v>
      </c>
      <c r="H336" s="30">
        <f t="shared" si="19"/>
        <v>0</v>
      </c>
    </row>
    <row r="337" spans="2:8">
      <c r="B337" s="152">
        <f t="shared" si="17"/>
        <v>0</v>
      </c>
      <c r="D337" s="30">
        <v>0</v>
      </c>
      <c r="E337" s="30">
        <f t="shared" si="19"/>
        <v>0</v>
      </c>
      <c r="F337" s="30">
        <f t="shared" si="19"/>
        <v>0</v>
      </c>
      <c r="G337" s="30">
        <f t="shared" si="19"/>
        <v>0</v>
      </c>
      <c r="H337" s="30">
        <f t="shared" si="19"/>
        <v>0</v>
      </c>
    </row>
    <row r="338" spans="2:8">
      <c r="B338" s="152">
        <f t="shared" si="17"/>
        <v>0</v>
      </c>
      <c r="D338" s="30">
        <v>0</v>
      </c>
      <c r="E338" s="30">
        <f t="shared" si="19"/>
        <v>0</v>
      </c>
      <c r="F338" s="30">
        <f t="shared" si="19"/>
        <v>0</v>
      </c>
      <c r="G338" s="30">
        <f t="shared" si="19"/>
        <v>0</v>
      </c>
      <c r="H338" s="30">
        <f t="shared" si="19"/>
        <v>0</v>
      </c>
    </row>
    <row r="339" spans="2:8">
      <c r="B339" s="152">
        <f t="shared" si="17"/>
        <v>0</v>
      </c>
      <c r="D339" s="30">
        <v>0</v>
      </c>
      <c r="E339" s="30">
        <f t="shared" si="19"/>
        <v>0</v>
      </c>
      <c r="F339" s="30">
        <f t="shared" si="19"/>
        <v>0</v>
      </c>
      <c r="G339" s="30">
        <f t="shared" si="19"/>
        <v>0</v>
      </c>
      <c r="H339" s="30">
        <f t="shared" si="19"/>
        <v>0</v>
      </c>
    </row>
    <row r="340" spans="2:8">
      <c r="B340" s="152">
        <f t="shared" si="17"/>
        <v>0</v>
      </c>
      <c r="D340" s="30">
        <v>0</v>
      </c>
      <c r="E340" s="30">
        <f t="shared" si="19"/>
        <v>0</v>
      </c>
      <c r="F340" s="30">
        <f t="shared" si="19"/>
        <v>0</v>
      </c>
      <c r="G340" s="30">
        <f t="shared" si="19"/>
        <v>0</v>
      </c>
      <c r="H340" s="30">
        <f t="shared" si="19"/>
        <v>0</v>
      </c>
    </row>
    <row r="341" spans="2:8">
      <c r="B341" s="152">
        <f t="shared" si="17"/>
        <v>0</v>
      </c>
      <c r="D341" s="30">
        <v>0</v>
      </c>
      <c r="E341" s="30">
        <f t="shared" si="19"/>
        <v>0</v>
      </c>
      <c r="F341" s="30">
        <f t="shared" si="19"/>
        <v>0</v>
      </c>
      <c r="G341" s="30">
        <f t="shared" si="19"/>
        <v>0</v>
      </c>
      <c r="H341" s="30">
        <f t="shared" si="19"/>
        <v>0</v>
      </c>
    </row>
    <row r="342" spans="2:8">
      <c r="B342" s="152">
        <f t="shared" si="17"/>
        <v>0</v>
      </c>
      <c r="D342" s="30">
        <v>0</v>
      </c>
      <c r="E342" s="30">
        <f t="shared" si="19"/>
        <v>0</v>
      </c>
      <c r="F342" s="30">
        <f t="shared" si="19"/>
        <v>0</v>
      </c>
      <c r="G342" s="30">
        <f t="shared" si="19"/>
        <v>0</v>
      </c>
      <c r="H342" s="30">
        <f t="shared" si="19"/>
        <v>0</v>
      </c>
    </row>
    <row r="343" spans="2:8">
      <c r="B343" s="152">
        <f t="shared" si="17"/>
        <v>0</v>
      </c>
      <c r="D343" s="30">
        <v>0</v>
      </c>
      <c r="E343" s="30">
        <f t="shared" si="19"/>
        <v>0</v>
      </c>
      <c r="F343" s="30">
        <f t="shared" si="19"/>
        <v>0</v>
      </c>
      <c r="G343" s="30">
        <f t="shared" si="19"/>
        <v>0</v>
      </c>
      <c r="H343" s="30">
        <f t="shared" si="19"/>
        <v>0</v>
      </c>
    </row>
    <row r="344" spans="2:8">
      <c r="B344" s="152">
        <f t="shared" si="17"/>
        <v>0</v>
      </c>
      <c r="D344" s="30">
        <v>0</v>
      </c>
      <c r="E344" s="30">
        <f t="shared" si="19"/>
        <v>0</v>
      </c>
      <c r="F344" s="30">
        <f t="shared" si="19"/>
        <v>0</v>
      </c>
      <c r="G344" s="30">
        <f t="shared" si="19"/>
        <v>0</v>
      </c>
      <c r="H344" s="30">
        <f t="shared" si="19"/>
        <v>0</v>
      </c>
    </row>
    <row r="345" spans="2:8">
      <c r="B345" s="152">
        <f t="shared" si="17"/>
        <v>0</v>
      </c>
      <c r="D345" s="30">
        <v>0</v>
      </c>
      <c r="E345" s="30">
        <f t="shared" si="19"/>
        <v>0</v>
      </c>
      <c r="F345" s="30">
        <f t="shared" si="19"/>
        <v>0</v>
      </c>
      <c r="G345" s="30">
        <f t="shared" si="19"/>
        <v>0</v>
      </c>
      <c r="H345" s="30">
        <f t="shared" si="19"/>
        <v>0</v>
      </c>
    </row>
    <row r="346" spans="2:8">
      <c r="B346" s="152">
        <f t="shared" si="17"/>
        <v>0</v>
      </c>
      <c r="D346" s="30">
        <v>0</v>
      </c>
      <c r="E346" s="30">
        <f t="shared" si="19"/>
        <v>0</v>
      </c>
      <c r="F346" s="30">
        <f t="shared" si="19"/>
        <v>0</v>
      </c>
      <c r="G346" s="30">
        <f t="shared" si="19"/>
        <v>0</v>
      </c>
      <c r="H346" s="30">
        <f t="shared" si="19"/>
        <v>0</v>
      </c>
    </row>
    <row r="347" spans="2:8">
      <c r="B347" s="152">
        <f t="shared" si="17"/>
        <v>0</v>
      </c>
      <c r="D347" s="30">
        <v>0</v>
      </c>
      <c r="E347" s="30">
        <f t="shared" si="19"/>
        <v>0</v>
      </c>
      <c r="F347" s="30">
        <f t="shared" si="19"/>
        <v>0</v>
      </c>
      <c r="G347" s="30">
        <f t="shared" si="19"/>
        <v>0</v>
      </c>
      <c r="H347" s="30">
        <f t="shared" si="19"/>
        <v>0</v>
      </c>
    </row>
    <row r="348" spans="2:8">
      <c r="B348" s="152">
        <f t="shared" si="17"/>
        <v>0</v>
      </c>
      <c r="D348" s="30">
        <v>0</v>
      </c>
      <c r="E348" s="30">
        <f t="shared" ref="E348:H350" si="20">D1183</f>
        <v>0</v>
      </c>
      <c r="F348" s="30">
        <f t="shared" si="20"/>
        <v>0</v>
      </c>
      <c r="G348" s="30">
        <f t="shared" si="20"/>
        <v>0</v>
      </c>
      <c r="H348" s="30">
        <f t="shared" si="20"/>
        <v>0</v>
      </c>
    </row>
    <row r="349" spans="2:8">
      <c r="B349" s="152">
        <f t="shared" si="17"/>
        <v>0</v>
      </c>
      <c r="D349" s="30">
        <v>0</v>
      </c>
      <c r="E349" s="30">
        <f t="shared" si="20"/>
        <v>0</v>
      </c>
      <c r="F349" s="30">
        <f t="shared" si="20"/>
        <v>0</v>
      </c>
      <c r="G349" s="30">
        <f t="shared" si="20"/>
        <v>0</v>
      </c>
      <c r="H349" s="30">
        <f t="shared" si="20"/>
        <v>0</v>
      </c>
    </row>
    <row r="350" spans="2:8">
      <c r="B350" s="152">
        <f t="shared" si="17"/>
        <v>0</v>
      </c>
      <c r="D350" s="30">
        <v>0</v>
      </c>
      <c r="E350" s="30">
        <f t="shared" si="20"/>
        <v>0</v>
      </c>
      <c r="F350" s="30">
        <f t="shared" si="20"/>
        <v>0</v>
      </c>
      <c r="G350" s="30">
        <f t="shared" si="20"/>
        <v>0</v>
      </c>
      <c r="H350" s="30">
        <f t="shared" si="20"/>
        <v>0</v>
      </c>
    </row>
    <row r="351" spans="2:8">
      <c r="B351" s="152" t="s">
        <v>51</v>
      </c>
      <c r="D351" s="48">
        <f>SUM(D187:D350)</f>
        <v>0</v>
      </c>
      <c r="E351" s="48">
        <f>SUM(E187:E350)</f>
        <v>17782815.074312497</v>
      </c>
      <c r="F351" s="48">
        <f>SUM(F187:F350)</f>
        <v>53652457.91253259</v>
      </c>
      <c r="G351" s="48">
        <f>SUM(G187:G350)</f>
        <v>116246785.30471021</v>
      </c>
      <c r="H351" s="48">
        <f>SUM(H187:H350)</f>
        <v>220508353.05029303</v>
      </c>
    </row>
    <row r="352" spans="2:8">
      <c r="B352" s="152"/>
      <c r="D352" s="30"/>
      <c r="E352" s="30"/>
      <c r="F352" s="30"/>
      <c r="G352" s="30"/>
      <c r="H352" s="30"/>
    </row>
    <row r="353" spans="2:8" ht="15.75">
      <c r="B353" s="151" t="s">
        <v>27</v>
      </c>
      <c r="D353" s="30"/>
      <c r="E353" s="30"/>
      <c r="F353" s="30"/>
      <c r="G353" s="30"/>
      <c r="H353" s="30"/>
    </row>
    <row r="354" spans="2:8">
      <c r="B354" s="152">
        <f>B187</f>
        <v>0</v>
      </c>
      <c r="D354" s="61">
        <f>'21. Sewer - Capex RAB'!D356</f>
        <v>0</v>
      </c>
      <c r="E354" s="61">
        <f>'21. Sewer - Capex RAB'!E356</f>
        <v>0</v>
      </c>
      <c r="F354" s="61">
        <f>'21. Sewer - Capex RAB'!F356</f>
        <v>0</v>
      </c>
      <c r="G354" s="61">
        <f>'21. Sewer - Capex RAB'!G356</f>
        <v>0</v>
      </c>
      <c r="H354" s="61">
        <f>'21. Sewer - Capex RAB'!H356</f>
        <v>0</v>
      </c>
    </row>
    <row r="355" spans="2:8">
      <c r="B355" s="152">
        <f t="shared" ref="B355:B418" si="21">B188</f>
        <v>0</v>
      </c>
      <c r="D355" s="61">
        <f>'21. Sewer - Capex RAB'!D357</f>
        <v>0</v>
      </c>
      <c r="E355" s="61">
        <f>'21. Sewer - Capex RAB'!E357</f>
        <v>0</v>
      </c>
      <c r="F355" s="61">
        <f>'21. Sewer - Capex RAB'!F357</f>
        <v>0</v>
      </c>
      <c r="G355" s="61">
        <f>'21. Sewer - Capex RAB'!G357</f>
        <v>0</v>
      </c>
      <c r="H355" s="61">
        <f>'21. Sewer - Capex RAB'!H357</f>
        <v>0</v>
      </c>
    </row>
    <row r="356" spans="2:8">
      <c r="B356" s="152">
        <f t="shared" si="21"/>
        <v>0</v>
      </c>
      <c r="D356" s="61">
        <f>'21. Sewer - Capex RAB'!D358</f>
        <v>0</v>
      </c>
      <c r="E356" s="61">
        <f>'21. Sewer - Capex RAB'!E358</f>
        <v>0</v>
      </c>
      <c r="F356" s="61">
        <f>'21. Sewer - Capex RAB'!F358</f>
        <v>0</v>
      </c>
      <c r="G356" s="61">
        <f>'21. Sewer - Capex RAB'!G358</f>
        <v>0</v>
      </c>
      <c r="H356" s="61">
        <f>'21. Sewer - Capex RAB'!H358</f>
        <v>0</v>
      </c>
    </row>
    <row r="357" spans="2:8">
      <c r="B357" s="152">
        <f t="shared" si="21"/>
        <v>0</v>
      </c>
      <c r="D357" s="61">
        <f>'21. Sewer - Capex RAB'!D359</f>
        <v>0</v>
      </c>
      <c r="E357" s="61">
        <f>'21. Sewer - Capex RAB'!E359</f>
        <v>0</v>
      </c>
      <c r="F357" s="61">
        <f>'21. Sewer - Capex RAB'!F359</f>
        <v>0</v>
      </c>
      <c r="G357" s="61">
        <f>'21. Sewer - Capex RAB'!G359</f>
        <v>0</v>
      </c>
      <c r="H357" s="61">
        <f>'21. Sewer - Capex RAB'!H359</f>
        <v>0</v>
      </c>
    </row>
    <row r="358" spans="2:8">
      <c r="B358" s="152">
        <f t="shared" si="21"/>
        <v>0</v>
      </c>
      <c r="D358" s="61">
        <f>'21. Sewer - Capex RAB'!D360</f>
        <v>0</v>
      </c>
      <c r="E358" s="61">
        <f>'21. Sewer - Capex RAB'!E360</f>
        <v>0</v>
      </c>
      <c r="F358" s="61">
        <f>'21. Sewer - Capex RAB'!F360</f>
        <v>0</v>
      </c>
      <c r="G358" s="61">
        <f>'21. Sewer - Capex RAB'!G360</f>
        <v>0</v>
      </c>
      <c r="H358" s="61">
        <f>'21. Sewer - Capex RAB'!H360</f>
        <v>0</v>
      </c>
    </row>
    <row r="359" spans="2:8">
      <c r="B359" s="152">
        <f t="shared" si="21"/>
        <v>0</v>
      </c>
      <c r="D359" s="61">
        <f>'21. Sewer - Capex RAB'!D361</f>
        <v>0</v>
      </c>
      <c r="E359" s="61">
        <f>'21. Sewer - Capex RAB'!E361</f>
        <v>0</v>
      </c>
      <c r="F359" s="61">
        <f>'21. Sewer - Capex RAB'!F361</f>
        <v>0</v>
      </c>
      <c r="G359" s="61">
        <f>'21. Sewer - Capex RAB'!G361</f>
        <v>0</v>
      </c>
      <c r="H359" s="61">
        <f>'21. Sewer - Capex RAB'!H361</f>
        <v>0</v>
      </c>
    </row>
    <row r="360" spans="2:8">
      <c r="B360" s="152">
        <f t="shared" si="21"/>
        <v>0</v>
      </c>
      <c r="D360" s="61">
        <f>'21. Sewer - Capex RAB'!D362</f>
        <v>0</v>
      </c>
      <c r="E360" s="61">
        <f>'21. Sewer - Capex RAB'!E362</f>
        <v>0</v>
      </c>
      <c r="F360" s="61">
        <f>'21. Sewer - Capex RAB'!F362</f>
        <v>0</v>
      </c>
      <c r="G360" s="61">
        <f>'21. Sewer - Capex RAB'!G362</f>
        <v>0</v>
      </c>
      <c r="H360" s="61">
        <f>'21. Sewer - Capex RAB'!H362</f>
        <v>0</v>
      </c>
    </row>
    <row r="361" spans="2:8">
      <c r="B361" s="152">
        <f t="shared" si="21"/>
        <v>0</v>
      </c>
      <c r="D361" s="61">
        <f>'21. Sewer - Capex RAB'!D363</f>
        <v>0</v>
      </c>
      <c r="E361" s="61">
        <f>'21. Sewer - Capex RAB'!E363</f>
        <v>0</v>
      </c>
      <c r="F361" s="61">
        <f>'21. Sewer - Capex RAB'!F363</f>
        <v>0</v>
      </c>
      <c r="G361" s="61">
        <f>'21. Sewer - Capex RAB'!G363</f>
        <v>0</v>
      </c>
      <c r="H361" s="61">
        <f>'21. Sewer - Capex RAB'!H363</f>
        <v>0</v>
      </c>
    </row>
    <row r="362" spans="2:8">
      <c r="B362" s="152">
        <f t="shared" si="21"/>
        <v>0</v>
      </c>
      <c r="D362" s="61">
        <f>'21. Sewer - Capex RAB'!D364</f>
        <v>0</v>
      </c>
      <c r="E362" s="61">
        <f>'21. Sewer - Capex RAB'!E364</f>
        <v>0</v>
      </c>
      <c r="F362" s="61">
        <f>'21. Sewer - Capex RAB'!F364</f>
        <v>0</v>
      </c>
      <c r="G362" s="61">
        <f>'21. Sewer - Capex RAB'!G364</f>
        <v>0</v>
      </c>
      <c r="H362" s="61">
        <f>'21. Sewer - Capex RAB'!H364</f>
        <v>0</v>
      </c>
    </row>
    <row r="363" spans="2:8">
      <c r="B363" s="152">
        <f t="shared" si="21"/>
        <v>0</v>
      </c>
      <c r="D363" s="61">
        <f>'21. Sewer - Capex RAB'!D365</f>
        <v>0</v>
      </c>
      <c r="E363" s="61">
        <f>'21. Sewer - Capex RAB'!E365</f>
        <v>0</v>
      </c>
      <c r="F363" s="61">
        <f>'21. Sewer - Capex RAB'!F365</f>
        <v>0</v>
      </c>
      <c r="G363" s="61">
        <f>'21. Sewer - Capex RAB'!G365</f>
        <v>0</v>
      </c>
      <c r="H363" s="61">
        <f>'21. Sewer - Capex RAB'!H365</f>
        <v>0</v>
      </c>
    </row>
    <row r="364" spans="2:8">
      <c r="B364" s="152">
        <f t="shared" si="21"/>
        <v>0</v>
      </c>
      <c r="D364" s="61">
        <f>'21. Sewer - Capex RAB'!D366</f>
        <v>0</v>
      </c>
      <c r="E364" s="61">
        <f>'21. Sewer - Capex RAB'!E366</f>
        <v>0</v>
      </c>
      <c r="F364" s="61">
        <f>'21. Sewer - Capex RAB'!F366</f>
        <v>0</v>
      </c>
      <c r="G364" s="61">
        <f>'21. Sewer - Capex RAB'!G366</f>
        <v>0</v>
      </c>
      <c r="H364" s="61">
        <f>'21. Sewer - Capex RAB'!H366</f>
        <v>0</v>
      </c>
    </row>
    <row r="365" spans="2:8">
      <c r="B365" s="152">
        <f t="shared" si="21"/>
        <v>0</v>
      </c>
      <c r="D365" s="61">
        <f>'21. Sewer - Capex RAB'!D367</f>
        <v>0</v>
      </c>
      <c r="E365" s="61">
        <f>'21. Sewer - Capex RAB'!E367</f>
        <v>0</v>
      </c>
      <c r="F365" s="61">
        <f>'21. Sewer - Capex RAB'!F367</f>
        <v>0</v>
      </c>
      <c r="G365" s="61">
        <f>'21. Sewer - Capex RAB'!G367</f>
        <v>0</v>
      </c>
      <c r="H365" s="61">
        <f>'21. Sewer - Capex RAB'!H367</f>
        <v>0</v>
      </c>
    </row>
    <row r="366" spans="2:8">
      <c r="B366" s="152">
        <f t="shared" si="21"/>
        <v>0</v>
      </c>
      <c r="D366" s="61">
        <f>'21. Sewer - Capex RAB'!D368</f>
        <v>0</v>
      </c>
      <c r="E366" s="61">
        <f>'21. Sewer - Capex RAB'!E368</f>
        <v>0</v>
      </c>
      <c r="F366" s="61">
        <f>'21. Sewer - Capex RAB'!F368</f>
        <v>0</v>
      </c>
      <c r="G366" s="61">
        <f>'21. Sewer - Capex RAB'!G368</f>
        <v>0</v>
      </c>
      <c r="H366" s="61">
        <f>'21. Sewer - Capex RAB'!H368</f>
        <v>0</v>
      </c>
    </row>
    <row r="367" spans="2:8">
      <c r="B367" s="152">
        <f t="shared" si="21"/>
        <v>0</v>
      </c>
      <c r="D367" s="61">
        <f>'21. Sewer - Capex RAB'!D369</f>
        <v>0</v>
      </c>
      <c r="E367" s="61">
        <f>'21. Sewer - Capex RAB'!E369</f>
        <v>0</v>
      </c>
      <c r="F367" s="61">
        <f>'21. Sewer - Capex RAB'!F369</f>
        <v>0</v>
      </c>
      <c r="G367" s="61">
        <f>'21. Sewer - Capex RAB'!G369</f>
        <v>0</v>
      </c>
      <c r="H367" s="61">
        <f>'21. Sewer - Capex RAB'!H369</f>
        <v>0</v>
      </c>
    </row>
    <row r="368" spans="2:8">
      <c r="B368" s="152">
        <f t="shared" si="21"/>
        <v>0</v>
      </c>
      <c r="D368" s="61">
        <f>'21. Sewer - Capex RAB'!D370</f>
        <v>0</v>
      </c>
      <c r="E368" s="61">
        <f>'21. Sewer - Capex RAB'!E370</f>
        <v>0</v>
      </c>
      <c r="F368" s="61">
        <f>'21. Sewer - Capex RAB'!F370</f>
        <v>0</v>
      </c>
      <c r="G368" s="61">
        <f>'21. Sewer - Capex RAB'!G370</f>
        <v>0</v>
      </c>
      <c r="H368" s="61">
        <f>'21. Sewer - Capex RAB'!H370</f>
        <v>0</v>
      </c>
    </row>
    <row r="369" spans="2:8">
      <c r="B369" s="152">
        <f t="shared" si="21"/>
        <v>0</v>
      </c>
      <c r="D369" s="61">
        <f>'21. Sewer - Capex RAB'!D371</f>
        <v>0</v>
      </c>
      <c r="E369" s="61">
        <f>'21. Sewer - Capex RAB'!E371</f>
        <v>0</v>
      </c>
      <c r="F369" s="61">
        <f>'21. Sewer - Capex RAB'!F371</f>
        <v>0</v>
      </c>
      <c r="G369" s="61">
        <f>'21. Sewer - Capex RAB'!G371</f>
        <v>0</v>
      </c>
      <c r="H369" s="61">
        <f>'21. Sewer - Capex RAB'!H371</f>
        <v>0</v>
      </c>
    </row>
    <row r="370" spans="2:8">
      <c r="B370" s="152">
        <f t="shared" si="21"/>
        <v>0</v>
      </c>
      <c r="D370" s="61">
        <f>'21. Sewer - Capex RAB'!D372</f>
        <v>0</v>
      </c>
      <c r="E370" s="61">
        <f>'21. Sewer - Capex RAB'!E372</f>
        <v>0</v>
      </c>
      <c r="F370" s="61">
        <f>'21. Sewer - Capex RAB'!F372</f>
        <v>0</v>
      </c>
      <c r="G370" s="61">
        <f>'21. Sewer - Capex RAB'!G372</f>
        <v>0</v>
      </c>
      <c r="H370" s="61">
        <f>'21. Sewer - Capex RAB'!H372</f>
        <v>0</v>
      </c>
    </row>
    <row r="371" spans="2:8">
      <c r="B371" s="152">
        <f t="shared" si="21"/>
        <v>0</v>
      </c>
      <c r="D371" s="61">
        <f>'21. Sewer - Capex RAB'!D373</f>
        <v>0</v>
      </c>
      <c r="E371" s="61">
        <f>'21. Sewer - Capex RAB'!E373</f>
        <v>0</v>
      </c>
      <c r="F371" s="61">
        <f>'21. Sewer - Capex RAB'!F373</f>
        <v>0</v>
      </c>
      <c r="G371" s="61">
        <f>'21. Sewer - Capex RAB'!G373</f>
        <v>0</v>
      </c>
      <c r="H371" s="61">
        <f>'21. Sewer - Capex RAB'!H373</f>
        <v>0</v>
      </c>
    </row>
    <row r="372" spans="2:8">
      <c r="B372" s="152">
        <f t="shared" si="21"/>
        <v>0</v>
      </c>
      <c r="D372" s="61">
        <f>'21. Sewer - Capex RAB'!D374</f>
        <v>0</v>
      </c>
      <c r="E372" s="61">
        <f>'21. Sewer - Capex RAB'!E374</f>
        <v>0</v>
      </c>
      <c r="F372" s="61">
        <f>'21. Sewer - Capex RAB'!F374</f>
        <v>0</v>
      </c>
      <c r="G372" s="61">
        <f>'21. Sewer - Capex RAB'!G374</f>
        <v>0</v>
      </c>
      <c r="H372" s="61">
        <f>'21. Sewer - Capex RAB'!H374</f>
        <v>0</v>
      </c>
    </row>
    <row r="373" spans="2:8">
      <c r="B373" s="152">
        <f t="shared" si="21"/>
        <v>0</v>
      </c>
      <c r="D373" s="61">
        <f>'21. Sewer - Capex RAB'!D375</f>
        <v>0</v>
      </c>
      <c r="E373" s="61">
        <f>'21. Sewer - Capex RAB'!E375</f>
        <v>0</v>
      </c>
      <c r="F373" s="61">
        <f>'21. Sewer - Capex RAB'!F375</f>
        <v>0</v>
      </c>
      <c r="G373" s="61">
        <f>'21. Sewer - Capex RAB'!G375</f>
        <v>0</v>
      </c>
      <c r="H373" s="61">
        <f>'21. Sewer - Capex RAB'!H375</f>
        <v>0</v>
      </c>
    </row>
    <row r="374" spans="2:8">
      <c r="B374" s="152">
        <f t="shared" si="21"/>
        <v>0</v>
      </c>
      <c r="D374" s="61">
        <f>'21. Sewer - Capex RAB'!D376</f>
        <v>0</v>
      </c>
      <c r="E374" s="61">
        <f>'21. Sewer - Capex RAB'!E376</f>
        <v>0</v>
      </c>
      <c r="F374" s="61">
        <f>'21. Sewer - Capex RAB'!F376</f>
        <v>0</v>
      </c>
      <c r="G374" s="61">
        <f>'21. Sewer - Capex RAB'!G376</f>
        <v>0</v>
      </c>
      <c r="H374" s="61">
        <f>'21. Sewer - Capex RAB'!H376</f>
        <v>0</v>
      </c>
    </row>
    <row r="375" spans="2:8">
      <c r="B375" s="152">
        <f t="shared" si="21"/>
        <v>0</v>
      </c>
      <c r="D375" s="61">
        <f>'21. Sewer - Capex RAB'!D377</f>
        <v>0</v>
      </c>
      <c r="E375" s="61">
        <f>'21. Sewer - Capex RAB'!E377</f>
        <v>0</v>
      </c>
      <c r="F375" s="61">
        <f>'21. Sewer - Capex RAB'!F377</f>
        <v>0</v>
      </c>
      <c r="G375" s="61">
        <f>'21. Sewer - Capex RAB'!G377</f>
        <v>0</v>
      </c>
      <c r="H375" s="61">
        <f>'21. Sewer - Capex RAB'!H377</f>
        <v>0</v>
      </c>
    </row>
    <row r="376" spans="2:8">
      <c r="B376" s="152">
        <f t="shared" si="21"/>
        <v>0</v>
      </c>
      <c r="D376" s="61">
        <f>'21. Sewer - Capex RAB'!D378</f>
        <v>0</v>
      </c>
      <c r="E376" s="61">
        <f>'21. Sewer - Capex RAB'!E378</f>
        <v>0</v>
      </c>
      <c r="F376" s="61">
        <f>'21. Sewer - Capex RAB'!F378</f>
        <v>0</v>
      </c>
      <c r="G376" s="61">
        <f>'21. Sewer - Capex RAB'!G378</f>
        <v>0</v>
      </c>
      <c r="H376" s="61">
        <f>'21. Sewer - Capex RAB'!H378</f>
        <v>0</v>
      </c>
    </row>
    <row r="377" spans="2:8">
      <c r="B377" s="152">
        <f t="shared" si="21"/>
        <v>0</v>
      </c>
      <c r="D377" s="61">
        <f>'21. Sewer - Capex RAB'!D379</f>
        <v>0</v>
      </c>
      <c r="E377" s="61">
        <f>'21. Sewer - Capex RAB'!E379</f>
        <v>0</v>
      </c>
      <c r="F377" s="61">
        <f>'21. Sewer - Capex RAB'!F379</f>
        <v>0</v>
      </c>
      <c r="G377" s="61">
        <f>'21. Sewer - Capex RAB'!G379</f>
        <v>0</v>
      </c>
      <c r="H377" s="61">
        <f>'21. Sewer - Capex RAB'!H379</f>
        <v>0</v>
      </c>
    </row>
    <row r="378" spans="2:8">
      <c r="B378" s="152">
        <f t="shared" si="21"/>
        <v>0</v>
      </c>
      <c r="D378" s="61">
        <f>'21. Sewer - Capex RAB'!D380</f>
        <v>0</v>
      </c>
      <c r="E378" s="61">
        <f>'21. Sewer - Capex RAB'!E380</f>
        <v>0</v>
      </c>
      <c r="F378" s="61">
        <f>'21. Sewer - Capex RAB'!F380</f>
        <v>0</v>
      </c>
      <c r="G378" s="61">
        <f>'21. Sewer - Capex RAB'!G380</f>
        <v>0</v>
      </c>
      <c r="H378" s="61">
        <f>'21. Sewer - Capex RAB'!H380</f>
        <v>0</v>
      </c>
    </row>
    <row r="379" spans="2:8">
      <c r="B379" s="152">
        <f t="shared" si="21"/>
        <v>0</v>
      </c>
      <c r="D379" s="61">
        <f>'21. Sewer - Capex RAB'!D381</f>
        <v>0</v>
      </c>
      <c r="E379" s="61">
        <f>'21. Sewer - Capex RAB'!E381</f>
        <v>0</v>
      </c>
      <c r="F379" s="61">
        <f>'21. Sewer - Capex RAB'!F381</f>
        <v>0</v>
      </c>
      <c r="G379" s="61">
        <f>'21. Sewer - Capex RAB'!G381</f>
        <v>0</v>
      </c>
      <c r="H379" s="61">
        <f>'21. Sewer - Capex RAB'!H381</f>
        <v>0</v>
      </c>
    </row>
    <row r="380" spans="2:8">
      <c r="B380" s="152">
        <f t="shared" si="21"/>
        <v>0</v>
      </c>
      <c r="D380" s="61">
        <f>'21. Sewer - Capex RAB'!D382</f>
        <v>0</v>
      </c>
      <c r="E380" s="61">
        <f>'21. Sewer - Capex RAB'!E382</f>
        <v>0</v>
      </c>
      <c r="F380" s="61">
        <f>'21. Sewer - Capex RAB'!F382</f>
        <v>0</v>
      </c>
      <c r="G380" s="61">
        <f>'21. Sewer - Capex RAB'!G382</f>
        <v>0</v>
      </c>
      <c r="H380" s="61">
        <f>'21. Sewer - Capex RAB'!H382</f>
        <v>0</v>
      </c>
    </row>
    <row r="381" spans="2:8">
      <c r="B381" s="152">
        <f t="shared" si="21"/>
        <v>0</v>
      </c>
      <c r="D381" s="61">
        <f>'21. Sewer - Capex RAB'!D383</f>
        <v>0</v>
      </c>
      <c r="E381" s="61">
        <f>'21. Sewer - Capex RAB'!E383</f>
        <v>0</v>
      </c>
      <c r="F381" s="61">
        <f>'21. Sewer - Capex RAB'!F383</f>
        <v>0</v>
      </c>
      <c r="G381" s="61">
        <f>'21. Sewer - Capex RAB'!G383</f>
        <v>0</v>
      </c>
      <c r="H381" s="61">
        <f>'21. Sewer - Capex RAB'!H383</f>
        <v>0</v>
      </c>
    </row>
    <row r="382" spans="2:8">
      <c r="B382" s="152">
        <f t="shared" si="21"/>
        <v>0</v>
      </c>
      <c r="D382" s="61">
        <f>'21. Sewer - Capex RAB'!D384</f>
        <v>0</v>
      </c>
      <c r="E382" s="61">
        <f>'21. Sewer - Capex RAB'!E384</f>
        <v>0</v>
      </c>
      <c r="F382" s="61">
        <f>'21. Sewer - Capex RAB'!F384</f>
        <v>0</v>
      </c>
      <c r="G382" s="61">
        <f>'21. Sewer - Capex RAB'!G384</f>
        <v>0</v>
      </c>
      <c r="H382" s="61">
        <f>'21. Sewer - Capex RAB'!H384</f>
        <v>0</v>
      </c>
    </row>
    <row r="383" spans="2:8">
      <c r="B383" s="152">
        <f t="shared" si="21"/>
        <v>0</v>
      </c>
      <c r="D383" s="61">
        <f>'21. Sewer - Capex RAB'!D385</f>
        <v>0</v>
      </c>
      <c r="E383" s="61">
        <f>'21. Sewer - Capex RAB'!E385</f>
        <v>0</v>
      </c>
      <c r="F383" s="61">
        <f>'21. Sewer - Capex RAB'!F385</f>
        <v>0</v>
      </c>
      <c r="G383" s="61">
        <f>'21. Sewer - Capex RAB'!G385</f>
        <v>0</v>
      </c>
      <c r="H383" s="61">
        <f>'21. Sewer - Capex RAB'!H385</f>
        <v>0</v>
      </c>
    </row>
    <row r="384" spans="2:8">
      <c r="B384" s="152">
        <f t="shared" si="21"/>
        <v>0</v>
      </c>
      <c r="D384" s="61">
        <f>'21. Sewer - Capex RAB'!D386</f>
        <v>0</v>
      </c>
      <c r="E384" s="61">
        <f>'21. Sewer - Capex RAB'!E386</f>
        <v>0</v>
      </c>
      <c r="F384" s="61">
        <f>'21. Sewer - Capex RAB'!F386</f>
        <v>0</v>
      </c>
      <c r="G384" s="61">
        <f>'21. Sewer - Capex RAB'!G386</f>
        <v>0</v>
      </c>
      <c r="H384" s="61">
        <f>'21. Sewer - Capex RAB'!H386</f>
        <v>0</v>
      </c>
    </row>
    <row r="385" spans="2:8">
      <c r="B385" s="152">
        <f t="shared" si="21"/>
        <v>0</v>
      </c>
      <c r="D385" s="61">
        <f>'21. Sewer - Capex RAB'!D387</f>
        <v>0</v>
      </c>
      <c r="E385" s="61">
        <f>'21. Sewer - Capex RAB'!E387</f>
        <v>0</v>
      </c>
      <c r="F385" s="61">
        <f>'21. Sewer - Capex RAB'!F387</f>
        <v>0</v>
      </c>
      <c r="G385" s="61">
        <f>'21. Sewer - Capex RAB'!G387</f>
        <v>0</v>
      </c>
      <c r="H385" s="61">
        <f>'21. Sewer - Capex RAB'!H387</f>
        <v>0</v>
      </c>
    </row>
    <row r="386" spans="2:8">
      <c r="B386" s="152">
        <f t="shared" si="21"/>
        <v>0</v>
      </c>
      <c r="D386" s="61">
        <f>'21. Sewer - Capex RAB'!D388</f>
        <v>0</v>
      </c>
      <c r="E386" s="61">
        <f>'21. Sewer - Capex RAB'!E388</f>
        <v>0</v>
      </c>
      <c r="F386" s="61">
        <f>'21. Sewer - Capex RAB'!F388</f>
        <v>0</v>
      </c>
      <c r="G386" s="61">
        <f>'21. Sewer - Capex RAB'!G388</f>
        <v>0</v>
      </c>
      <c r="H386" s="61">
        <f>'21. Sewer - Capex RAB'!H388</f>
        <v>0</v>
      </c>
    </row>
    <row r="387" spans="2:8">
      <c r="B387" s="152">
        <f t="shared" si="21"/>
        <v>0</v>
      </c>
      <c r="D387" s="61">
        <f>'21. Sewer - Capex RAB'!D389</f>
        <v>0</v>
      </c>
      <c r="E387" s="61">
        <f>'21. Sewer - Capex RAB'!E389</f>
        <v>0</v>
      </c>
      <c r="F387" s="61">
        <f>'21. Sewer - Capex RAB'!F389</f>
        <v>0</v>
      </c>
      <c r="G387" s="61">
        <f>'21. Sewer - Capex RAB'!G389</f>
        <v>0</v>
      </c>
      <c r="H387" s="61">
        <f>'21. Sewer - Capex RAB'!H389</f>
        <v>0</v>
      </c>
    </row>
    <row r="388" spans="2:8">
      <c r="B388" s="152">
        <f t="shared" si="21"/>
        <v>0</v>
      </c>
      <c r="D388" s="61">
        <f>'21. Sewer - Capex RAB'!D390</f>
        <v>0</v>
      </c>
      <c r="E388" s="61">
        <f>'21. Sewer - Capex RAB'!E390</f>
        <v>0</v>
      </c>
      <c r="F388" s="61">
        <f>'21. Sewer - Capex RAB'!F390</f>
        <v>0</v>
      </c>
      <c r="G388" s="61">
        <f>'21. Sewer - Capex RAB'!G390</f>
        <v>0</v>
      </c>
      <c r="H388" s="61">
        <f>'21. Sewer - Capex RAB'!H390</f>
        <v>0</v>
      </c>
    </row>
    <row r="389" spans="2:8">
      <c r="B389" s="152">
        <f t="shared" si="21"/>
        <v>0</v>
      </c>
      <c r="D389" s="61">
        <f>'21. Sewer - Capex RAB'!D391</f>
        <v>0</v>
      </c>
      <c r="E389" s="61">
        <f>'21. Sewer - Capex RAB'!E391</f>
        <v>0</v>
      </c>
      <c r="F389" s="61">
        <f>'21. Sewer - Capex RAB'!F391</f>
        <v>0</v>
      </c>
      <c r="G389" s="61">
        <f>'21. Sewer - Capex RAB'!G391</f>
        <v>0</v>
      </c>
      <c r="H389" s="61">
        <f>'21. Sewer - Capex RAB'!H391</f>
        <v>0</v>
      </c>
    </row>
    <row r="390" spans="2:8">
      <c r="B390" s="152">
        <f t="shared" si="21"/>
        <v>0</v>
      </c>
      <c r="D390" s="61">
        <f>'21. Sewer - Capex RAB'!D392</f>
        <v>0</v>
      </c>
      <c r="E390" s="61">
        <f>'21. Sewer - Capex RAB'!E392</f>
        <v>0</v>
      </c>
      <c r="F390" s="61">
        <f>'21. Sewer - Capex RAB'!F392</f>
        <v>0</v>
      </c>
      <c r="G390" s="61">
        <f>'21. Sewer - Capex RAB'!G392</f>
        <v>0</v>
      </c>
      <c r="H390" s="61">
        <f>'21. Sewer - Capex RAB'!H392</f>
        <v>0</v>
      </c>
    </row>
    <row r="391" spans="2:8">
      <c r="B391" s="152">
        <f t="shared" si="21"/>
        <v>0</v>
      </c>
      <c r="D391" s="61">
        <f>'21. Sewer - Capex RAB'!D393</f>
        <v>0</v>
      </c>
      <c r="E391" s="61">
        <f>'21. Sewer - Capex RAB'!E393</f>
        <v>0</v>
      </c>
      <c r="F391" s="61">
        <f>'21. Sewer - Capex RAB'!F393</f>
        <v>0</v>
      </c>
      <c r="G391" s="61">
        <f>'21. Sewer - Capex RAB'!G393</f>
        <v>0</v>
      </c>
      <c r="H391" s="61">
        <f>'21. Sewer - Capex RAB'!H393</f>
        <v>0</v>
      </c>
    </row>
    <row r="392" spans="2:8">
      <c r="B392" s="152">
        <f t="shared" si="21"/>
        <v>0</v>
      </c>
      <c r="D392" s="61">
        <f>'21. Sewer - Capex RAB'!D394</f>
        <v>0</v>
      </c>
      <c r="E392" s="61">
        <f>'21. Sewer - Capex RAB'!E394</f>
        <v>0</v>
      </c>
      <c r="F392" s="61">
        <f>'21. Sewer - Capex RAB'!F394</f>
        <v>0</v>
      </c>
      <c r="G392" s="61">
        <f>'21. Sewer - Capex RAB'!G394</f>
        <v>0</v>
      </c>
      <c r="H392" s="61">
        <f>'21. Sewer - Capex RAB'!H394</f>
        <v>0</v>
      </c>
    </row>
    <row r="393" spans="2:8">
      <c r="B393" s="152">
        <f t="shared" si="21"/>
        <v>0</v>
      </c>
      <c r="D393" s="61">
        <f>'21. Sewer - Capex RAB'!D395</f>
        <v>0</v>
      </c>
      <c r="E393" s="61">
        <f>'21. Sewer - Capex RAB'!E395</f>
        <v>0</v>
      </c>
      <c r="F393" s="61">
        <f>'21. Sewer - Capex RAB'!F395</f>
        <v>0</v>
      </c>
      <c r="G393" s="61">
        <f>'21. Sewer - Capex RAB'!G395</f>
        <v>0</v>
      </c>
      <c r="H393" s="61">
        <f>'21. Sewer - Capex RAB'!H395</f>
        <v>0</v>
      </c>
    </row>
    <row r="394" spans="2:8">
      <c r="B394" s="152">
        <f t="shared" si="21"/>
        <v>0</v>
      </c>
      <c r="D394" s="61">
        <f>'21. Sewer - Capex RAB'!D396</f>
        <v>0</v>
      </c>
      <c r="E394" s="61">
        <f>'21. Sewer - Capex RAB'!E396</f>
        <v>0</v>
      </c>
      <c r="F394" s="61">
        <f>'21. Sewer - Capex RAB'!F396</f>
        <v>0</v>
      </c>
      <c r="G394" s="61">
        <f>'21. Sewer - Capex RAB'!G396</f>
        <v>0</v>
      </c>
      <c r="H394" s="61">
        <f>'21. Sewer - Capex RAB'!H396</f>
        <v>0</v>
      </c>
    </row>
    <row r="395" spans="2:8">
      <c r="B395" s="152">
        <f t="shared" si="21"/>
        <v>0</v>
      </c>
      <c r="D395" s="61">
        <f>'21. Sewer - Capex RAB'!D397</f>
        <v>0</v>
      </c>
      <c r="E395" s="61">
        <f>'21. Sewer - Capex RAB'!E397</f>
        <v>0</v>
      </c>
      <c r="F395" s="61">
        <f>'21. Sewer - Capex RAB'!F397</f>
        <v>0</v>
      </c>
      <c r="G395" s="61">
        <f>'21. Sewer - Capex RAB'!G397</f>
        <v>0</v>
      </c>
      <c r="H395" s="61">
        <f>'21. Sewer - Capex RAB'!H397</f>
        <v>0</v>
      </c>
    </row>
    <row r="396" spans="2:8">
      <c r="B396" s="152">
        <f t="shared" si="21"/>
        <v>0</v>
      </c>
      <c r="D396" s="61">
        <f>'21. Sewer - Capex RAB'!D398</f>
        <v>0</v>
      </c>
      <c r="E396" s="61">
        <f>'21. Sewer - Capex RAB'!E398</f>
        <v>0</v>
      </c>
      <c r="F396" s="61">
        <f>'21. Sewer - Capex RAB'!F398</f>
        <v>0</v>
      </c>
      <c r="G396" s="61">
        <f>'21. Sewer - Capex RAB'!G398</f>
        <v>0</v>
      </c>
      <c r="H396" s="61">
        <f>'21. Sewer - Capex RAB'!H398</f>
        <v>0</v>
      </c>
    </row>
    <row r="397" spans="2:8">
      <c r="B397" s="152">
        <f t="shared" si="21"/>
        <v>0</v>
      </c>
      <c r="D397" s="61">
        <f>'21. Sewer - Capex RAB'!D399</f>
        <v>0</v>
      </c>
      <c r="E397" s="61">
        <f>'21. Sewer - Capex RAB'!E399</f>
        <v>0</v>
      </c>
      <c r="F397" s="61">
        <f>'21. Sewer - Capex RAB'!F399</f>
        <v>0</v>
      </c>
      <c r="G397" s="61">
        <f>'21. Sewer - Capex RAB'!G399</f>
        <v>0</v>
      </c>
      <c r="H397" s="61">
        <f>'21. Sewer - Capex RAB'!H399</f>
        <v>0</v>
      </c>
    </row>
    <row r="398" spans="2:8">
      <c r="B398" s="152">
        <f t="shared" si="21"/>
        <v>0</v>
      </c>
      <c r="D398" s="61">
        <f>'21. Sewer - Capex RAB'!D400</f>
        <v>0</v>
      </c>
      <c r="E398" s="61">
        <f>'21. Sewer - Capex RAB'!E400</f>
        <v>0</v>
      </c>
      <c r="F398" s="61">
        <f>'21. Sewer - Capex RAB'!F400</f>
        <v>0</v>
      </c>
      <c r="G398" s="61">
        <f>'21. Sewer - Capex RAB'!G400</f>
        <v>0</v>
      </c>
      <c r="H398" s="61">
        <f>'21. Sewer - Capex RAB'!H400</f>
        <v>0</v>
      </c>
    </row>
    <row r="399" spans="2:8">
      <c r="B399" s="152">
        <f t="shared" si="21"/>
        <v>0</v>
      </c>
      <c r="D399" s="61">
        <f>'21. Sewer - Capex RAB'!D401</f>
        <v>0</v>
      </c>
      <c r="E399" s="61">
        <f>'21. Sewer - Capex RAB'!E401</f>
        <v>0</v>
      </c>
      <c r="F399" s="61">
        <f>'21. Sewer - Capex RAB'!F401</f>
        <v>0</v>
      </c>
      <c r="G399" s="61">
        <f>'21. Sewer - Capex RAB'!G401</f>
        <v>0</v>
      </c>
      <c r="H399" s="61">
        <f>'21. Sewer - Capex RAB'!H401</f>
        <v>0</v>
      </c>
    </row>
    <row r="400" spans="2:8">
      <c r="B400" s="152">
        <f t="shared" si="21"/>
        <v>0</v>
      </c>
      <c r="D400" s="61">
        <f>'21. Sewer - Capex RAB'!D402</f>
        <v>0</v>
      </c>
      <c r="E400" s="61">
        <f>'21. Sewer - Capex RAB'!E402</f>
        <v>0</v>
      </c>
      <c r="F400" s="61">
        <f>'21. Sewer - Capex RAB'!F402</f>
        <v>0</v>
      </c>
      <c r="G400" s="61">
        <f>'21. Sewer - Capex RAB'!G402</f>
        <v>0</v>
      </c>
      <c r="H400" s="61">
        <f>'21. Sewer - Capex RAB'!H402</f>
        <v>0</v>
      </c>
    </row>
    <row r="401" spans="2:8">
      <c r="B401" s="152">
        <f t="shared" si="21"/>
        <v>0</v>
      </c>
      <c r="D401" s="61">
        <f>'21. Sewer - Capex RAB'!D403</f>
        <v>0</v>
      </c>
      <c r="E401" s="61">
        <f>'21. Sewer - Capex RAB'!E403</f>
        <v>0</v>
      </c>
      <c r="F401" s="61">
        <f>'21. Sewer - Capex RAB'!F403</f>
        <v>0</v>
      </c>
      <c r="G401" s="61">
        <f>'21. Sewer - Capex RAB'!G403</f>
        <v>0</v>
      </c>
      <c r="H401" s="61">
        <f>'21. Sewer - Capex RAB'!H403</f>
        <v>0</v>
      </c>
    </row>
    <row r="402" spans="2:8">
      <c r="B402" s="152">
        <f t="shared" si="21"/>
        <v>0</v>
      </c>
      <c r="D402" s="61">
        <f>'21. Sewer - Capex RAB'!D404</f>
        <v>0</v>
      </c>
      <c r="E402" s="61">
        <f>'21. Sewer - Capex RAB'!E404</f>
        <v>0</v>
      </c>
      <c r="F402" s="61">
        <f>'21. Sewer - Capex RAB'!F404</f>
        <v>0</v>
      </c>
      <c r="G402" s="61">
        <f>'21. Sewer - Capex RAB'!G404</f>
        <v>0</v>
      </c>
      <c r="H402" s="61">
        <f>'21. Sewer - Capex RAB'!H404</f>
        <v>0</v>
      </c>
    </row>
    <row r="403" spans="2:8">
      <c r="B403" s="152">
        <f t="shared" si="21"/>
        <v>0</v>
      </c>
      <c r="D403" s="61">
        <f>'21. Sewer - Capex RAB'!D405</f>
        <v>0</v>
      </c>
      <c r="E403" s="61">
        <f>'21. Sewer - Capex RAB'!E405</f>
        <v>0</v>
      </c>
      <c r="F403" s="61">
        <f>'21. Sewer - Capex RAB'!F405</f>
        <v>0</v>
      </c>
      <c r="G403" s="61">
        <f>'21. Sewer - Capex RAB'!G405</f>
        <v>0</v>
      </c>
      <c r="H403" s="61">
        <f>'21. Sewer - Capex RAB'!H405</f>
        <v>0</v>
      </c>
    </row>
    <row r="404" spans="2:8">
      <c r="B404" s="152">
        <f t="shared" si="21"/>
        <v>0</v>
      </c>
      <c r="D404" s="61">
        <f>'21. Sewer - Capex RAB'!D406</f>
        <v>0</v>
      </c>
      <c r="E404" s="61">
        <f>'21. Sewer - Capex RAB'!E406</f>
        <v>0</v>
      </c>
      <c r="F404" s="61">
        <f>'21. Sewer - Capex RAB'!F406</f>
        <v>0</v>
      </c>
      <c r="G404" s="61">
        <f>'21. Sewer - Capex RAB'!G406</f>
        <v>0</v>
      </c>
      <c r="H404" s="61">
        <f>'21. Sewer - Capex RAB'!H406</f>
        <v>0</v>
      </c>
    </row>
    <row r="405" spans="2:8">
      <c r="B405" s="152">
        <f t="shared" si="21"/>
        <v>0</v>
      </c>
      <c r="D405" s="61">
        <f>'21. Sewer - Capex RAB'!D407</f>
        <v>0</v>
      </c>
      <c r="E405" s="61">
        <f>'21. Sewer - Capex RAB'!E407</f>
        <v>0</v>
      </c>
      <c r="F405" s="61">
        <f>'21. Sewer - Capex RAB'!F407</f>
        <v>0</v>
      </c>
      <c r="G405" s="61">
        <f>'21. Sewer - Capex RAB'!G407</f>
        <v>0</v>
      </c>
      <c r="H405" s="61">
        <f>'21. Sewer - Capex RAB'!H407</f>
        <v>0</v>
      </c>
    </row>
    <row r="406" spans="2:8">
      <c r="B406" s="152">
        <f t="shared" si="21"/>
        <v>0</v>
      </c>
      <c r="D406" s="61">
        <f>'21. Sewer - Capex RAB'!D408</f>
        <v>0</v>
      </c>
      <c r="E406" s="61">
        <f>'21. Sewer - Capex RAB'!E408</f>
        <v>0</v>
      </c>
      <c r="F406" s="61">
        <f>'21. Sewer - Capex RAB'!F408</f>
        <v>0</v>
      </c>
      <c r="G406" s="61">
        <f>'21. Sewer - Capex RAB'!G408</f>
        <v>0</v>
      </c>
      <c r="H406" s="61">
        <f>'21. Sewer - Capex RAB'!H408</f>
        <v>0</v>
      </c>
    </row>
    <row r="407" spans="2:8">
      <c r="B407" s="152">
        <f t="shared" si="21"/>
        <v>0</v>
      </c>
      <c r="D407" s="61">
        <f>'21. Sewer - Capex RAB'!D409</f>
        <v>0</v>
      </c>
      <c r="E407" s="61">
        <f>'21. Sewer - Capex RAB'!E409</f>
        <v>0</v>
      </c>
      <c r="F407" s="61">
        <f>'21. Sewer - Capex RAB'!F409</f>
        <v>0</v>
      </c>
      <c r="G407" s="61">
        <f>'21. Sewer - Capex RAB'!G409</f>
        <v>0</v>
      </c>
      <c r="H407" s="61">
        <f>'21. Sewer - Capex RAB'!H409</f>
        <v>0</v>
      </c>
    </row>
    <row r="408" spans="2:8">
      <c r="B408" s="152">
        <f t="shared" si="21"/>
        <v>0</v>
      </c>
      <c r="D408" s="61">
        <f>'21. Sewer - Capex RAB'!D410</f>
        <v>0</v>
      </c>
      <c r="E408" s="61">
        <f>'21. Sewer - Capex RAB'!E410</f>
        <v>0</v>
      </c>
      <c r="F408" s="61">
        <f>'21. Sewer - Capex RAB'!F410</f>
        <v>0</v>
      </c>
      <c r="G408" s="61">
        <f>'21. Sewer - Capex RAB'!G410</f>
        <v>0</v>
      </c>
      <c r="H408" s="61">
        <f>'21. Sewer - Capex RAB'!H410</f>
        <v>0</v>
      </c>
    </row>
    <row r="409" spans="2:8">
      <c r="B409" s="152">
        <f t="shared" si="21"/>
        <v>0</v>
      </c>
      <c r="D409" s="61">
        <f>'21. Sewer - Capex RAB'!D411</f>
        <v>0</v>
      </c>
      <c r="E409" s="61">
        <f>'21. Sewer - Capex RAB'!E411</f>
        <v>0</v>
      </c>
      <c r="F409" s="61">
        <f>'21. Sewer - Capex RAB'!F411</f>
        <v>0</v>
      </c>
      <c r="G409" s="61">
        <f>'21. Sewer - Capex RAB'!G411</f>
        <v>0</v>
      </c>
      <c r="H409" s="61">
        <f>'21. Sewer - Capex RAB'!H411</f>
        <v>0</v>
      </c>
    </row>
    <row r="410" spans="2:8">
      <c r="B410" s="152">
        <f t="shared" si="21"/>
        <v>0</v>
      </c>
      <c r="D410" s="61">
        <f>'21. Sewer - Capex RAB'!D412</f>
        <v>0</v>
      </c>
      <c r="E410" s="61">
        <f>'21. Sewer - Capex RAB'!E412</f>
        <v>0</v>
      </c>
      <c r="F410" s="61">
        <f>'21. Sewer - Capex RAB'!F412</f>
        <v>0</v>
      </c>
      <c r="G410" s="61">
        <f>'21. Sewer - Capex RAB'!G412</f>
        <v>0</v>
      </c>
      <c r="H410" s="61">
        <f>'21. Sewer - Capex RAB'!H412</f>
        <v>0</v>
      </c>
    </row>
    <row r="411" spans="2:8">
      <c r="B411" s="152">
        <f t="shared" si="21"/>
        <v>0</v>
      </c>
      <c r="D411" s="61">
        <f>'21. Sewer - Capex RAB'!D413</f>
        <v>0</v>
      </c>
      <c r="E411" s="61">
        <f>'21. Sewer - Capex RAB'!E413</f>
        <v>0</v>
      </c>
      <c r="F411" s="61">
        <f>'21. Sewer - Capex RAB'!F413</f>
        <v>0</v>
      </c>
      <c r="G411" s="61">
        <f>'21. Sewer - Capex RAB'!G413</f>
        <v>0</v>
      </c>
      <c r="H411" s="61">
        <f>'21. Sewer - Capex RAB'!H413</f>
        <v>0</v>
      </c>
    </row>
    <row r="412" spans="2:8">
      <c r="B412" s="152">
        <f t="shared" si="21"/>
        <v>0</v>
      </c>
      <c r="D412" s="61">
        <f>'21. Sewer - Capex RAB'!D414</f>
        <v>0</v>
      </c>
      <c r="E412" s="61">
        <f>'21. Sewer - Capex RAB'!E414</f>
        <v>0</v>
      </c>
      <c r="F412" s="61">
        <f>'21. Sewer - Capex RAB'!F414</f>
        <v>0</v>
      </c>
      <c r="G412" s="61">
        <f>'21. Sewer - Capex RAB'!G414</f>
        <v>0</v>
      </c>
      <c r="H412" s="61">
        <f>'21. Sewer - Capex RAB'!H414</f>
        <v>0</v>
      </c>
    </row>
    <row r="413" spans="2:8">
      <c r="B413" s="152">
        <f t="shared" si="21"/>
        <v>0</v>
      </c>
      <c r="D413" s="61">
        <f>'21. Sewer - Capex RAB'!D415</f>
        <v>0</v>
      </c>
      <c r="E413" s="61">
        <f>'21. Sewer - Capex RAB'!E415</f>
        <v>0</v>
      </c>
      <c r="F413" s="61">
        <f>'21. Sewer - Capex RAB'!F415</f>
        <v>0</v>
      </c>
      <c r="G413" s="61">
        <f>'21. Sewer - Capex RAB'!G415</f>
        <v>0</v>
      </c>
      <c r="H413" s="61">
        <f>'21. Sewer - Capex RAB'!H415</f>
        <v>0</v>
      </c>
    </row>
    <row r="414" spans="2:8">
      <c r="B414" s="152">
        <f t="shared" si="21"/>
        <v>0</v>
      </c>
      <c r="D414" s="61">
        <f>'21. Sewer - Capex RAB'!D416</f>
        <v>0</v>
      </c>
      <c r="E414" s="61">
        <f>'21. Sewer - Capex RAB'!E416</f>
        <v>0</v>
      </c>
      <c r="F414" s="61">
        <f>'21. Sewer - Capex RAB'!F416</f>
        <v>0</v>
      </c>
      <c r="G414" s="61">
        <f>'21. Sewer - Capex RAB'!G416</f>
        <v>0</v>
      </c>
      <c r="H414" s="61">
        <f>'21. Sewer - Capex RAB'!H416</f>
        <v>0</v>
      </c>
    </row>
    <row r="415" spans="2:8">
      <c r="B415" s="152">
        <f t="shared" si="21"/>
        <v>0</v>
      </c>
      <c r="D415" s="61">
        <f>'21. Sewer - Capex RAB'!D417</f>
        <v>0</v>
      </c>
      <c r="E415" s="61">
        <f>'21. Sewer - Capex RAB'!E417</f>
        <v>0</v>
      </c>
      <c r="F415" s="61">
        <f>'21. Sewer - Capex RAB'!F417</f>
        <v>0</v>
      </c>
      <c r="G415" s="61">
        <f>'21. Sewer - Capex RAB'!G417</f>
        <v>0</v>
      </c>
      <c r="H415" s="61">
        <f>'21. Sewer - Capex RAB'!H417</f>
        <v>0</v>
      </c>
    </row>
    <row r="416" spans="2:8">
      <c r="B416" s="152">
        <f t="shared" si="21"/>
        <v>0</v>
      </c>
      <c r="D416" s="61">
        <f>'21. Sewer - Capex RAB'!D418</f>
        <v>0</v>
      </c>
      <c r="E416" s="61">
        <f>'21. Sewer - Capex RAB'!E418</f>
        <v>0</v>
      </c>
      <c r="F416" s="61">
        <f>'21. Sewer - Capex RAB'!F418</f>
        <v>0</v>
      </c>
      <c r="G416" s="61">
        <f>'21. Sewer - Capex RAB'!G418</f>
        <v>0</v>
      </c>
      <c r="H416" s="61">
        <f>'21. Sewer - Capex RAB'!H418</f>
        <v>0</v>
      </c>
    </row>
    <row r="417" spans="2:8">
      <c r="B417" s="152">
        <f t="shared" si="21"/>
        <v>0</v>
      </c>
      <c r="D417" s="61">
        <f>'21. Sewer - Capex RAB'!D419</f>
        <v>0</v>
      </c>
      <c r="E417" s="61">
        <f>'21. Sewer - Capex RAB'!E419</f>
        <v>0</v>
      </c>
      <c r="F417" s="61">
        <f>'21. Sewer - Capex RAB'!F419</f>
        <v>0</v>
      </c>
      <c r="G417" s="61">
        <f>'21. Sewer - Capex RAB'!G419</f>
        <v>0</v>
      </c>
      <c r="H417" s="61">
        <f>'21. Sewer - Capex RAB'!H419</f>
        <v>0</v>
      </c>
    </row>
    <row r="418" spans="2:8">
      <c r="B418" s="152">
        <f t="shared" si="21"/>
        <v>0</v>
      </c>
      <c r="D418" s="61">
        <f>'21. Sewer - Capex RAB'!D420</f>
        <v>0</v>
      </c>
      <c r="E418" s="61">
        <f>'21. Sewer - Capex RAB'!E420</f>
        <v>0</v>
      </c>
      <c r="F418" s="61">
        <f>'21. Sewer - Capex RAB'!F420</f>
        <v>0</v>
      </c>
      <c r="G418" s="61">
        <f>'21. Sewer - Capex RAB'!G420</f>
        <v>0</v>
      </c>
      <c r="H418" s="61">
        <f>'21. Sewer - Capex RAB'!H420</f>
        <v>0</v>
      </c>
    </row>
    <row r="419" spans="2:8">
      <c r="B419" s="152">
        <f t="shared" ref="B419:B482" si="22">B252</f>
        <v>0</v>
      </c>
      <c r="D419" s="61">
        <f>'21. Sewer - Capex RAB'!D421</f>
        <v>0</v>
      </c>
      <c r="E419" s="61">
        <f>'21. Sewer - Capex RAB'!E421</f>
        <v>0</v>
      </c>
      <c r="F419" s="61">
        <f>'21. Sewer - Capex RAB'!F421</f>
        <v>0</v>
      </c>
      <c r="G419" s="61">
        <f>'21. Sewer - Capex RAB'!G421</f>
        <v>0</v>
      </c>
      <c r="H419" s="61">
        <f>'21. Sewer - Capex RAB'!H421</f>
        <v>0</v>
      </c>
    </row>
    <row r="420" spans="2:8">
      <c r="B420" s="152">
        <f t="shared" si="22"/>
        <v>0</v>
      </c>
      <c r="D420" s="61">
        <f>'21. Sewer - Capex RAB'!D422</f>
        <v>0</v>
      </c>
      <c r="E420" s="61">
        <f>'21. Sewer - Capex RAB'!E422</f>
        <v>0</v>
      </c>
      <c r="F420" s="61">
        <f>'21. Sewer - Capex RAB'!F422</f>
        <v>0</v>
      </c>
      <c r="G420" s="61">
        <f>'21. Sewer - Capex RAB'!G422</f>
        <v>0</v>
      </c>
      <c r="H420" s="61">
        <f>'21. Sewer - Capex RAB'!H422</f>
        <v>0</v>
      </c>
    </row>
    <row r="421" spans="2:8">
      <c r="B421" s="152">
        <f t="shared" si="22"/>
        <v>0</v>
      </c>
      <c r="D421" s="61">
        <f>'21. Sewer - Capex RAB'!D423</f>
        <v>0</v>
      </c>
      <c r="E421" s="61">
        <f>'21. Sewer - Capex RAB'!E423</f>
        <v>0</v>
      </c>
      <c r="F421" s="61">
        <f>'21. Sewer - Capex RAB'!F423</f>
        <v>0</v>
      </c>
      <c r="G421" s="61">
        <f>'21. Sewer - Capex RAB'!G423</f>
        <v>0</v>
      </c>
      <c r="H421" s="61">
        <f>'21. Sewer - Capex RAB'!H423</f>
        <v>0</v>
      </c>
    </row>
    <row r="422" spans="2:8">
      <c r="B422" s="152">
        <f t="shared" si="22"/>
        <v>0</v>
      </c>
      <c r="D422" s="61">
        <f>'21. Sewer - Capex RAB'!D424</f>
        <v>0</v>
      </c>
      <c r="E422" s="61">
        <f>'21. Sewer - Capex RAB'!E424</f>
        <v>0</v>
      </c>
      <c r="F422" s="61">
        <f>'21. Sewer - Capex RAB'!F424</f>
        <v>0</v>
      </c>
      <c r="G422" s="61">
        <f>'21. Sewer - Capex RAB'!G424</f>
        <v>0</v>
      </c>
      <c r="H422" s="61">
        <f>'21. Sewer - Capex RAB'!H424</f>
        <v>0</v>
      </c>
    </row>
    <row r="423" spans="2:8">
      <c r="B423" s="152">
        <f t="shared" si="22"/>
        <v>0</v>
      </c>
      <c r="D423" s="61">
        <f>'21. Sewer - Capex RAB'!D425</f>
        <v>0</v>
      </c>
      <c r="E423" s="61">
        <f>'21. Sewer - Capex RAB'!E425</f>
        <v>0</v>
      </c>
      <c r="F423" s="61">
        <f>'21. Sewer - Capex RAB'!F425</f>
        <v>0</v>
      </c>
      <c r="G423" s="61">
        <f>'21. Sewer - Capex RAB'!G425</f>
        <v>0</v>
      </c>
      <c r="H423" s="61">
        <f>'21. Sewer - Capex RAB'!H425</f>
        <v>0</v>
      </c>
    </row>
    <row r="424" spans="2:8">
      <c r="B424" s="152">
        <f t="shared" si="22"/>
        <v>0</v>
      </c>
      <c r="D424" s="61">
        <f>'21. Sewer - Capex RAB'!D426</f>
        <v>0</v>
      </c>
      <c r="E424" s="61">
        <f>'21. Sewer - Capex RAB'!E426</f>
        <v>0</v>
      </c>
      <c r="F424" s="61">
        <f>'21. Sewer - Capex RAB'!F426</f>
        <v>0</v>
      </c>
      <c r="G424" s="61">
        <f>'21. Sewer - Capex RAB'!G426</f>
        <v>0</v>
      </c>
      <c r="H424" s="61">
        <f>'21. Sewer - Capex RAB'!H426</f>
        <v>0</v>
      </c>
    </row>
    <row r="425" spans="2:8">
      <c r="B425" s="152">
        <f t="shared" si="22"/>
        <v>0</v>
      </c>
      <c r="D425" s="61">
        <f>'21. Sewer - Capex RAB'!D427</f>
        <v>0</v>
      </c>
      <c r="E425" s="61">
        <f>'21. Sewer - Capex RAB'!E427</f>
        <v>0</v>
      </c>
      <c r="F425" s="61">
        <f>'21. Sewer - Capex RAB'!F427</f>
        <v>0</v>
      </c>
      <c r="G425" s="61">
        <f>'21. Sewer - Capex RAB'!G427</f>
        <v>0</v>
      </c>
      <c r="H425" s="61">
        <f>'21. Sewer - Capex RAB'!H427</f>
        <v>0</v>
      </c>
    </row>
    <row r="426" spans="2:8">
      <c r="B426" s="152">
        <f t="shared" si="22"/>
        <v>0</v>
      </c>
      <c r="D426" s="61">
        <f>'21. Sewer - Capex RAB'!D428</f>
        <v>0</v>
      </c>
      <c r="E426" s="61">
        <f>'21. Sewer - Capex RAB'!E428</f>
        <v>0</v>
      </c>
      <c r="F426" s="61">
        <f>'21. Sewer - Capex RAB'!F428</f>
        <v>0</v>
      </c>
      <c r="G426" s="61">
        <f>'21. Sewer - Capex RAB'!G428</f>
        <v>0</v>
      </c>
      <c r="H426" s="61">
        <f>'21. Sewer - Capex RAB'!H428</f>
        <v>0</v>
      </c>
    </row>
    <row r="427" spans="2:8">
      <c r="B427" s="152">
        <f t="shared" si="22"/>
        <v>0</v>
      </c>
      <c r="D427" s="61">
        <f>'21. Sewer - Capex RAB'!D429</f>
        <v>0</v>
      </c>
      <c r="E427" s="61">
        <f>'21. Sewer - Capex RAB'!E429</f>
        <v>0</v>
      </c>
      <c r="F427" s="61">
        <f>'21. Sewer - Capex RAB'!F429</f>
        <v>0</v>
      </c>
      <c r="G427" s="61">
        <f>'21. Sewer - Capex RAB'!G429</f>
        <v>0</v>
      </c>
      <c r="H427" s="61">
        <f>'21. Sewer - Capex RAB'!H429</f>
        <v>0</v>
      </c>
    </row>
    <row r="428" spans="2:8">
      <c r="B428" s="152">
        <f t="shared" si="22"/>
        <v>0</v>
      </c>
      <c r="D428" s="61">
        <f>'21. Sewer - Capex RAB'!D430</f>
        <v>0</v>
      </c>
      <c r="E428" s="61">
        <f>'21. Sewer - Capex RAB'!E430</f>
        <v>0</v>
      </c>
      <c r="F428" s="61">
        <f>'21. Sewer - Capex RAB'!F430</f>
        <v>0</v>
      </c>
      <c r="G428" s="61">
        <f>'21. Sewer - Capex RAB'!G430</f>
        <v>0</v>
      </c>
      <c r="H428" s="61">
        <f>'21. Sewer - Capex RAB'!H430</f>
        <v>0</v>
      </c>
    </row>
    <row r="429" spans="2:8">
      <c r="B429" s="152">
        <f t="shared" si="22"/>
        <v>0</v>
      </c>
      <c r="D429" s="61">
        <f>'21. Sewer - Capex RAB'!D431</f>
        <v>0</v>
      </c>
      <c r="E429" s="61">
        <f>'21. Sewer - Capex RAB'!E431</f>
        <v>0</v>
      </c>
      <c r="F429" s="61">
        <f>'21. Sewer - Capex RAB'!F431</f>
        <v>0</v>
      </c>
      <c r="G429" s="61">
        <f>'21. Sewer - Capex RAB'!G431</f>
        <v>0</v>
      </c>
      <c r="H429" s="61">
        <f>'21. Sewer - Capex RAB'!H431</f>
        <v>0</v>
      </c>
    </row>
    <row r="430" spans="2:8">
      <c r="B430" s="152">
        <f t="shared" si="22"/>
        <v>0</v>
      </c>
      <c r="D430" s="61">
        <f>'21. Sewer - Capex RAB'!D432</f>
        <v>0</v>
      </c>
      <c r="E430" s="61">
        <f>'21. Sewer - Capex RAB'!E432</f>
        <v>0</v>
      </c>
      <c r="F430" s="61">
        <f>'21. Sewer - Capex RAB'!F432</f>
        <v>0</v>
      </c>
      <c r="G430" s="61">
        <f>'21. Sewer - Capex RAB'!G432</f>
        <v>0</v>
      </c>
      <c r="H430" s="61">
        <f>'21. Sewer - Capex RAB'!H432</f>
        <v>0</v>
      </c>
    </row>
    <row r="431" spans="2:8">
      <c r="B431" s="152">
        <f t="shared" si="22"/>
        <v>0</v>
      </c>
      <c r="D431" s="61">
        <f>'21. Sewer - Capex RAB'!D433</f>
        <v>0</v>
      </c>
      <c r="E431" s="61">
        <f>'21. Sewer - Capex RAB'!E433</f>
        <v>0</v>
      </c>
      <c r="F431" s="61">
        <f>'21. Sewer - Capex RAB'!F433</f>
        <v>0</v>
      </c>
      <c r="G431" s="61">
        <f>'21. Sewer - Capex RAB'!G433</f>
        <v>0</v>
      </c>
      <c r="H431" s="61">
        <f>'21. Sewer - Capex RAB'!H433</f>
        <v>0</v>
      </c>
    </row>
    <row r="432" spans="2:8">
      <c r="B432" s="152">
        <f t="shared" si="22"/>
        <v>0</v>
      </c>
      <c r="D432" s="61">
        <f>'21. Sewer - Capex RAB'!D434</f>
        <v>0</v>
      </c>
      <c r="E432" s="61">
        <f>'21. Sewer - Capex RAB'!E434</f>
        <v>0</v>
      </c>
      <c r="F432" s="61">
        <f>'21. Sewer - Capex RAB'!F434</f>
        <v>0</v>
      </c>
      <c r="G432" s="61">
        <f>'21. Sewer - Capex RAB'!G434</f>
        <v>0</v>
      </c>
      <c r="H432" s="61">
        <f>'21. Sewer - Capex RAB'!H434</f>
        <v>0</v>
      </c>
    </row>
    <row r="433" spans="2:8">
      <c r="B433" s="152">
        <f t="shared" si="22"/>
        <v>0</v>
      </c>
      <c r="D433" s="61">
        <f>'21. Sewer - Capex RAB'!D435</f>
        <v>0</v>
      </c>
      <c r="E433" s="61">
        <f>'21. Sewer - Capex RAB'!E435</f>
        <v>0</v>
      </c>
      <c r="F433" s="61">
        <f>'21. Sewer - Capex RAB'!F435</f>
        <v>0</v>
      </c>
      <c r="G433" s="61">
        <f>'21. Sewer - Capex RAB'!G435</f>
        <v>0</v>
      </c>
      <c r="H433" s="61">
        <f>'21. Sewer - Capex RAB'!H435</f>
        <v>0</v>
      </c>
    </row>
    <row r="434" spans="2:8">
      <c r="B434" s="152">
        <f t="shared" si="22"/>
        <v>0</v>
      </c>
      <c r="D434" s="61">
        <f>'21. Sewer - Capex RAB'!D436</f>
        <v>0</v>
      </c>
      <c r="E434" s="61">
        <f>'21. Sewer - Capex RAB'!E436</f>
        <v>0</v>
      </c>
      <c r="F434" s="61">
        <f>'21. Sewer - Capex RAB'!F436</f>
        <v>0</v>
      </c>
      <c r="G434" s="61">
        <f>'21. Sewer - Capex RAB'!G436</f>
        <v>0</v>
      </c>
      <c r="H434" s="61">
        <f>'21. Sewer - Capex RAB'!H436</f>
        <v>0</v>
      </c>
    </row>
    <row r="435" spans="2:8">
      <c r="B435" s="152">
        <f t="shared" si="22"/>
        <v>0</v>
      </c>
      <c r="D435" s="61">
        <f>'21. Sewer - Capex RAB'!D437</f>
        <v>0</v>
      </c>
      <c r="E435" s="61">
        <f>'21. Sewer - Capex RAB'!E437</f>
        <v>0</v>
      </c>
      <c r="F435" s="61">
        <f>'21. Sewer - Capex RAB'!F437</f>
        <v>0</v>
      </c>
      <c r="G435" s="61">
        <f>'21. Sewer - Capex RAB'!G437</f>
        <v>0</v>
      </c>
      <c r="H435" s="61">
        <f>'21. Sewer - Capex RAB'!H437</f>
        <v>0</v>
      </c>
    </row>
    <row r="436" spans="2:8">
      <c r="B436" s="152">
        <f t="shared" si="22"/>
        <v>0</v>
      </c>
      <c r="D436" s="61">
        <f>'21. Sewer - Capex RAB'!D438</f>
        <v>0</v>
      </c>
      <c r="E436" s="61">
        <f>'21. Sewer - Capex RAB'!E438</f>
        <v>0</v>
      </c>
      <c r="F436" s="61">
        <f>'21. Sewer - Capex RAB'!F438</f>
        <v>0</v>
      </c>
      <c r="G436" s="61">
        <f>'21. Sewer - Capex RAB'!G438</f>
        <v>0</v>
      </c>
      <c r="H436" s="61">
        <f>'21. Sewer - Capex RAB'!H438</f>
        <v>0</v>
      </c>
    </row>
    <row r="437" spans="2:8">
      <c r="B437" s="152">
        <f t="shared" si="22"/>
        <v>0</v>
      </c>
      <c r="D437" s="61">
        <f>'21. Sewer - Capex RAB'!D439</f>
        <v>0</v>
      </c>
      <c r="E437" s="61">
        <f>'21. Sewer - Capex RAB'!E439</f>
        <v>0</v>
      </c>
      <c r="F437" s="61">
        <f>'21. Sewer - Capex RAB'!F439</f>
        <v>0</v>
      </c>
      <c r="G437" s="61">
        <f>'21. Sewer - Capex RAB'!G439</f>
        <v>0</v>
      </c>
      <c r="H437" s="61">
        <f>'21. Sewer - Capex RAB'!H439</f>
        <v>0</v>
      </c>
    </row>
    <row r="438" spans="2:8">
      <c r="B438" s="152">
        <f t="shared" si="22"/>
        <v>0</v>
      </c>
      <c r="D438" s="61">
        <f>'21. Sewer - Capex RAB'!D440</f>
        <v>0</v>
      </c>
      <c r="E438" s="61">
        <f>'21. Sewer - Capex RAB'!E440</f>
        <v>0</v>
      </c>
      <c r="F438" s="61">
        <f>'21. Sewer - Capex RAB'!F440</f>
        <v>0</v>
      </c>
      <c r="G438" s="61">
        <f>'21. Sewer - Capex RAB'!G440</f>
        <v>0</v>
      </c>
      <c r="H438" s="61">
        <f>'21. Sewer - Capex RAB'!H440</f>
        <v>0</v>
      </c>
    </row>
    <row r="439" spans="2:8">
      <c r="B439" s="152">
        <f t="shared" si="22"/>
        <v>0</v>
      </c>
      <c r="D439" s="61">
        <f>'21. Sewer - Capex RAB'!D441</f>
        <v>0</v>
      </c>
      <c r="E439" s="61">
        <f>'21. Sewer - Capex RAB'!E441</f>
        <v>0</v>
      </c>
      <c r="F439" s="61">
        <f>'21. Sewer - Capex RAB'!F441</f>
        <v>0</v>
      </c>
      <c r="G439" s="61">
        <f>'21. Sewer - Capex RAB'!G441</f>
        <v>0</v>
      </c>
      <c r="H439" s="61">
        <f>'21. Sewer - Capex RAB'!H441</f>
        <v>0</v>
      </c>
    </row>
    <row r="440" spans="2:8">
      <c r="B440" s="152">
        <f t="shared" si="22"/>
        <v>0</v>
      </c>
      <c r="D440" s="61">
        <f>'21. Sewer - Capex RAB'!D442</f>
        <v>0</v>
      </c>
      <c r="E440" s="61">
        <f>'21. Sewer - Capex RAB'!E442</f>
        <v>0</v>
      </c>
      <c r="F440" s="61">
        <f>'21. Sewer - Capex RAB'!F442</f>
        <v>0</v>
      </c>
      <c r="G440" s="61">
        <f>'21. Sewer - Capex RAB'!G442</f>
        <v>0</v>
      </c>
      <c r="H440" s="61">
        <f>'21. Sewer - Capex RAB'!H442</f>
        <v>0</v>
      </c>
    </row>
    <row r="441" spans="2:8">
      <c r="B441" s="152">
        <f t="shared" si="22"/>
        <v>0</v>
      </c>
      <c r="D441" s="61">
        <f>'21. Sewer - Capex RAB'!D443</f>
        <v>0</v>
      </c>
      <c r="E441" s="61">
        <f>'21. Sewer - Capex RAB'!E443</f>
        <v>0</v>
      </c>
      <c r="F441" s="61">
        <f>'21. Sewer - Capex RAB'!F443</f>
        <v>0</v>
      </c>
      <c r="G441" s="61">
        <f>'21. Sewer - Capex RAB'!G443</f>
        <v>0</v>
      </c>
      <c r="H441" s="61">
        <f>'21. Sewer - Capex RAB'!H443</f>
        <v>0</v>
      </c>
    </row>
    <row r="442" spans="2:8">
      <c r="B442" s="152">
        <f t="shared" si="22"/>
        <v>0</v>
      </c>
      <c r="D442" s="61">
        <f>'21. Sewer - Capex RAB'!D444</f>
        <v>0</v>
      </c>
      <c r="E442" s="61">
        <f>'21. Sewer - Capex RAB'!E444</f>
        <v>0</v>
      </c>
      <c r="F442" s="61">
        <f>'21. Sewer - Capex RAB'!F444</f>
        <v>0</v>
      </c>
      <c r="G442" s="61">
        <f>'21. Sewer - Capex RAB'!G444</f>
        <v>0</v>
      </c>
      <c r="H442" s="61">
        <f>'21. Sewer - Capex RAB'!H444</f>
        <v>0</v>
      </c>
    </row>
    <row r="443" spans="2:8">
      <c r="B443" s="152">
        <f t="shared" si="22"/>
        <v>0</v>
      </c>
      <c r="D443" s="61">
        <f>'21. Sewer - Capex RAB'!D445</f>
        <v>0</v>
      </c>
      <c r="E443" s="61">
        <f>'21. Sewer - Capex RAB'!E445</f>
        <v>0</v>
      </c>
      <c r="F443" s="61">
        <f>'21. Sewer - Capex RAB'!F445</f>
        <v>0</v>
      </c>
      <c r="G443" s="61">
        <f>'21. Sewer - Capex RAB'!G445</f>
        <v>0</v>
      </c>
      <c r="H443" s="61">
        <f>'21. Sewer - Capex RAB'!H445</f>
        <v>0</v>
      </c>
    </row>
    <row r="444" spans="2:8">
      <c r="B444" s="152">
        <f t="shared" si="22"/>
        <v>0</v>
      </c>
      <c r="D444" s="61">
        <f>'21. Sewer - Capex RAB'!D446</f>
        <v>0</v>
      </c>
      <c r="E444" s="61">
        <f>'21. Sewer - Capex RAB'!E446</f>
        <v>0</v>
      </c>
      <c r="F444" s="61">
        <f>'21. Sewer - Capex RAB'!F446</f>
        <v>0</v>
      </c>
      <c r="G444" s="61">
        <f>'21. Sewer - Capex RAB'!G446</f>
        <v>0</v>
      </c>
      <c r="H444" s="61">
        <f>'21. Sewer - Capex RAB'!H446</f>
        <v>0</v>
      </c>
    </row>
    <row r="445" spans="2:8">
      <c r="B445" s="152">
        <f t="shared" si="22"/>
        <v>0</v>
      </c>
      <c r="D445" s="61">
        <f>'21. Sewer - Capex RAB'!D447</f>
        <v>0</v>
      </c>
      <c r="E445" s="61">
        <f>'21. Sewer - Capex RAB'!E447</f>
        <v>0</v>
      </c>
      <c r="F445" s="61">
        <f>'21. Sewer - Capex RAB'!F447</f>
        <v>0</v>
      </c>
      <c r="G445" s="61">
        <f>'21. Sewer - Capex RAB'!G447</f>
        <v>0</v>
      </c>
      <c r="H445" s="61">
        <f>'21. Sewer - Capex RAB'!H447</f>
        <v>0</v>
      </c>
    </row>
    <row r="446" spans="2:8">
      <c r="B446" s="152">
        <f t="shared" si="22"/>
        <v>0</v>
      </c>
      <c r="D446" s="61">
        <f>'21. Sewer - Capex RAB'!D448</f>
        <v>0</v>
      </c>
      <c r="E446" s="61">
        <f>'21. Sewer - Capex RAB'!E448</f>
        <v>0</v>
      </c>
      <c r="F446" s="61">
        <f>'21. Sewer - Capex RAB'!F448</f>
        <v>0</v>
      </c>
      <c r="G446" s="61">
        <f>'21. Sewer - Capex RAB'!G448</f>
        <v>0</v>
      </c>
      <c r="H446" s="61">
        <f>'21. Sewer - Capex RAB'!H448</f>
        <v>0</v>
      </c>
    </row>
    <row r="447" spans="2:8">
      <c r="B447" s="152">
        <f t="shared" si="22"/>
        <v>0</v>
      </c>
      <c r="D447" s="61">
        <f>'21. Sewer - Capex RAB'!D449</f>
        <v>0</v>
      </c>
      <c r="E447" s="61">
        <f>'21. Sewer - Capex RAB'!E449</f>
        <v>0</v>
      </c>
      <c r="F447" s="61">
        <f>'21. Sewer - Capex RAB'!F449</f>
        <v>0</v>
      </c>
      <c r="G447" s="61">
        <f>'21. Sewer - Capex RAB'!G449</f>
        <v>0</v>
      </c>
      <c r="H447" s="61">
        <f>'21. Sewer - Capex RAB'!H449</f>
        <v>0</v>
      </c>
    </row>
    <row r="448" spans="2:8">
      <c r="B448" s="152">
        <f t="shared" si="22"/>
        <v>0</v>
      </c>
      <c r="D448" s="61">
        <f>'21. Sewer - Capex RAB'!D450</f>
        <v>0</v>
      </c>
      <c r="E448" s="61">
        <f>'21. Sewer - Capex RAB'!E450</f>
        <v>0</v>
      </c>
      <c r="F448" s="61">
        <f>'21. Sewer - Capex RAB'!F450</f>
        <v>0</v>
      </c>
      <c r="G448" s="61">
        <f>'21. Sewer - Capex RAB'!G450</f>
        <v>0</v>
      </c>
      <c r="H448" s="61">
        <f>'21. Sewer - Capex RAB'!H450</f>
        <v>0</v>
      </c>
    </row>
    <row r="449" spans="2:8">
      <c r="B449" s="152">
        <f t="shared" si="22"/>
        <v>0</v>
      </c>
      <c r="D449" s="61">
        <f>'21. Sewer - Capex RAB'!D451</f>
        <v>0</v>
      </c>
      <c r="E449" s="61">
        <f>'21. Sewer - Capex RAB'!E451</f>
        <v>0</v>
      </c>
      <c r="F449" s="61">
        <f>'21. Sewer - Capex RAB'!F451</f>
        <v>0</v>
      </c>
      <c r="G449" s="61">
        <f>'21. Sewer - Capex RAB'!G451</f>
        <v>0</v>
      </c>
      <c r="H449" s="61">
        <f>'21. Sewer - Capex RAB'!H451</f>
        <v>0</v>
      </c>
    </row>
    <row r="450" spans="2:8">
      <c r="B450" s="152">
        <f t="shared" si="22"/>
        <v>0</v>
      </c>
      <c r="D450" s="61">
        <f>'21. Sewer - Capex RAB'!D452</f>
        <v>0</v>
      </c>
      <c r="E450" s="61">
        <f>'21. Sewer - Capex RAB'!E452</f>
        <v>0</v>
      </c>
      <c r="F450" s="61">
        <f>'21. Sewer - Capex RAB'!F452</f>
        <v>0</v>
      </c>
      <c r="G450" s="61">
        <f>'21. Sewer - Capex RAB'!G452</f>
        <v>0</v>
      </c>
      <c r="H450" s="61">
        <f>'21. Sewer - Capex RAB'!H452</f>
        <v>0</v>
      </c>
    </row>
    <row r="451" spans="2:8">
      <c r="B451" s="152">
        <f t="shared" si="22"/>
        <v>0</v>
      </c>
      <c r="D451" s="61">
        <f>'21. Sewer - Capex RAB'!D453</f>
        <v>0</v>
      </c>
      <c r="E451" s="61">
        <f>'21. Sewer - Capex RAB'!E453</f>
        <v>0</v>
      </c>
      <c r="F451" s="61">
        <f>'21. Sewer - Capex RAB'!F453</f>
        <v>0</v>
      </c>
      <c r="G451" s="61">
        <f>'21. Sewer - Capex RAB'!G453</f>
        <v>0</v>
      </c>
      <c r="H451" s="61">
        <f>'21. Sewer - Capex RAB'!H453</f>
        <v>0</v>
      </c>
    </row>
    <row r="452" spans="2:8">
      <c r="B452" s="152">
        <f t="shared" si="22"/>
        <v>0</v>
      </c>
      <c r="D452" s="61">
        <f>'21. Sewer - Capex RAB'!D454</f>
        <v>0</v>
      </c>
      <c r="E452" s="61">
        <f>'21. Sewer - Capex RAB'!E454</f>
        <v>0</v>
      </c>
      <c r="F452" s="61">
        <f>'21. Sewer - Capex RAB'!F454</f>
        <v>0</v>
      </c>
      <c r="G452" s="61">
        <f>'21. Sewer - Capex RAB'!G454</f>
        <v>0</v>
      </c>
      <c r="H452" s="61">
        <f>'21. Sewer - Capex RAB'!H454</f>
        <v>0</v>
      </c>
    </row>
    <row r="453" spans="2:8">
      <c r="B453" s="152">
        <f t="shared" si="22"/>
        <v>0</v>
      </c>
      <c r="D453" s="61">
        <f>'21. Sewer - Capex RAB'!D455</f>
        <v>0</v>
      </c>
      <c r="E453" s="61">
        <f>'21. Sewer - Capex RAB'!E455</f>
        <v>0</v>
      </c>
      <c r="F453" s="61">
        <f>'21. Sewer - Capex RAB'!F455</f>
        <v>0</v>
      </c>
      <c r="G453" s="61">
        <f>'21. Sewer - Capex RAB'!G455</f>
        <v>0</v>
      </c>
      <c r="H453" s="61">
        <f>'21. Sewer - Capex RAB'!H455</f>
        <v>0</v>
      </c>
    </row>
    <row r="454" spans="2:8">
      <c r="B454" s="152">
        <f t="shared" si="22"/>
        <v>0</v>
      </c>
      <c r="D454" s="61">
        <f>'21. Sewer - Capex RAB'!D456</f>
        <v>0</v>
      </c>
      <c r="E454" s="61">
        <f>'21. Sewer - Capex RAB'!E456</f>
        <v>0</v>
      </c>
      <c r="F454" s="61">
        <f>'21. Sewer - Capex RAB'!F456</f>
        <v>0</v>
      </c>
      <c r="G454" s="61">
        <f>'21. Sewer - Capex RAB'!G456</f>
        <v>0</v>
      </c>
      <c r="H454" s="61">
        <f>'21. Sewer - Capex RAB'!H456</f>
        <v>0</v>
      </c>
    </row>
    <row r="455" spans="2:8">
      <c r="B455" s="152">
        <f t="shared" si="22"/>
        <v>0</v>
      </c>
      <c r="D455" s="61">
        <f>'21. Sewer - Capex RAB'!D457</f>
        <v>0</v>
      </c>
      <c r="E455" s="61">
        <f>'21. Sewer - Capex RAB'!E457</f>
        <v>0</v>
      </c>
      <c r="F455" s="61">
        <f>'21. Sewer - Capex RAB'!F457</f>
        <v>0</v>
      </c>
      <c r="G455" s="61">
        <f>'21. Sewer - Capex RAB'!G457</f>
        <v>0</v>
      </c>
      <c r="H455" s="61">
        <f>'21. Sewer - Capex RAB'!H457</f>
        <v>0</v>
      </c>
    </row>
    <row r="456" spans="2:8">
      <c r="B456" s="152">
        <f t="shared" si="22"/>
        <v>0</v>
      </c>
      <c r="D456" s="61">
        <f>'21. Sewer - Capex RAB'!D458</f>
        <v>0</v>
      </c>
      <c r="E456" s="61">
        <f>'21. Sewer - Capex RAB'!E458</f>
        <v>0</v>
      </c>
      <c r="F456" s="61">
        <f>'21. Sewer - Capex RAB'!F458</f>
        <v>0</v>
      </c>
      <c r="G456" s="61">
        <f>'21. Sewer - Capex RAB'!G458</f>
        <v>0</v>
      </c>
      <c r="H456" s="61">
        <f>'21. Sewer - Capex RAB'!H458</f>
        <v>0</v>
      </c>
    </row>
    <row r="457" spans="2:8">
      <c r="B457" s="152">
        <f t="shared" si="22"/>
        <v>0</v>
      </c>
      <c r="D457" s="61">
        <f>'21. Sewer - Capex RAB'!D459</f>
        <v>0</v>
      </c>
      <c r="E457" s="61">
        <f>'21. Sewer - Capex RAB'!E459</f>
        <v>0</v>
      </c>
      <c r="F457" s="61">
        <f>'21. Sewer - Capex RAB'!F459</f>
        <v>0</v>
      </c>
      <c r="G457" s="61">
        <f>'21. Sewer - Capex RAB'!G459</f>
        <v>0</v>
      </c>
      <c r="H457" s="61">
        <f>'21. Sewer - Capex RAB'!H459</f>
        <v>0</v>
      </c>
    </row>
    <row r="458" spans="2:8">
      <c r="B458" s="152">
        <f t="shared" si="22"/>
        <v>0</v>
      </c>
      <c r="D458" s="61">
        <f>'21. Sewer - Capex RAB'!D460</f>
        <v>0</v>
      </c>
      <c r="E458" s="61">
        <f>'21. Sewer - Capex RAB'!E460</f>
        <v>0</v>
      </c>
      <c r="F458" s="61">
        <f>'21. Sewer - Capex RAB'!F460</f>
        <v>0</v>
      </c>
      <c r="G458" s="61">
        <f>'21. Sewer - Capex RAB'!G460</f>
        <v>0</v>
      </c>
      <c r="H458" s="61">
        <f>'21. Sewer - Capex RAB'!H460</f>
        <v>0</v>
      </c>
    </row>
    <row r="459" spans="2:8">
      <c r="B459" s="152">
        <f t="shared" si="22"/>
        <v>0</v>
      </c>
      <c r="D459" s="61">
        <f>'21. Sewer - Capex RAB'!D461</f>
        <v>0</v>
      </c>
      <c r="E459" s="61">
        <f>'21. Sewer - Capex RAB'!E461</f>
        <v>0</v>
      </c>
      <c r="F459" s="61">
        <f>'21. Sewer - Capex RAB'!F461</f>
        <v>0</v>
      </c>
      <c r="G459" s="61">
        <f>'21. Sewer - Capex RAB'!G461</f>
        <v>0</v>
      </c>
      <c r="H459" s="61">
        <f>'21. Sewer - Capex RAB'!H461</f>
        <v>0</v>
      </c>
    </row>
    <row r="460" spans="2:8">
      <c r="B460" s="152">
        <f t="shared" si="22"/>
        <v>0</v>
      </c>
      <c r="D460" s="61">
        <f>'21. Sewer - Capex RAB'!D462</f>
        <v>0</v>
      </c>
      <c r="E460" s="61">
        <f>'21. Sewer - Capex RAB'!E462</f>
        <v>0</v>
      </c>
      <c r="F460" s="61">
        <f>'21. Sewer - Capex RAB'!F462</f>
        <v>0</v>
      </c>
      <c r="G460" s="61">
        <f>'21. Sewer - Capex RAB'!G462</f>
        <v>0</v>
      </c>
      <c r="H460" s="61">
        <f>'21. Sewer - Capex RAB'!H462</f>
        <v>0</v>
      </c>
    </row>
    <row r="461" spans="2:8">
      <c r="B461" s="152">
        <f t="shared" si="22"/>
        <v>0</v>
      </c>
      <c r="D461" s="61">
        <f>'21. Sewer - Capex RAB'!D463</f>
        <v>0</v>
      </c>
      <c r="E461" s="61">
        <f>'21. Sewer - Capex RAB'!E463</f>
        <v>0</v>
      </c>
      <c r="F461" s="61">
        <f>'21. Sewer - Capex RAB'!F463</f>
        <v>0</v>
      </c>
      <c r="G461" s="61">
        <f>'21. Sewer - Capex RAB'!G463</f>
        <v>0</v>
      </c>
      <c r="H461" s="61">
        <f>'21. Sewer - Capex RAB'!H463</f>
        <v>0</v>
      </c>
    </row>
    <row r="462" spans="2:8">
      <c r="B462" s="152">
        <f t="shared" si="22"/>
        <v>0</v>
      </c>
      <c r="D462" s="61">
        <f>'21. Sewer - Capex RAB'!D464</f>
        <v>0</v>
      </c>
      <c r="E462" s="61">
        <f>'21. Sewer - Capex RAB'!E464</f>
        <v>0</v>
      </c>
      <c r="F462" s="61">
        <f>'21. Sewer - Capex RAB'!F464</f>
        <v>0</v>
      </c>
      <c r="G462" s="61">
        <f>'21. Sewer - Capex RAB'!G464</f>
        <v>0</v>
      </c>
      <c r="H462" s="61">
        <f>'21. Sewer - Capex RAB'!H464</f>
        <v>0</v>
      </c>
    </row>
    <row r="463" spans="2:8">
      <c r="B463" s="152">
        <f t="shared" si="22"/>
        <v>0</v>
      </c>
      <c r="D463" s="61">
        <f>'21. Sewer - Capex RAB'!D465</f>
        <v>0</v>
      </c>
      <c r="E463" s="61">
        <f>'21. Sewer - Capex RAB'!E465</f>
        <v>0</v>
      </c>
      <c r="F463" s="61">
        <f>'21. Sewer - Capex RAB'!F465</f>
        <v>0</v>
      </c>
      <c r="G463" s="61">
        <f>'21. Sewer - Capex RAB'!G465</f>
        <v>0</v>
      </c>
      <c r="H463" s="61">
        <f>'21. Sewer - Capex RAB'!H465</f>
        <v>0</v>
      </c>
    </row>
    <row r="464" spans="2:8">
      <c r="B464" s="152">
        <f t="shared" si="22"/>
        <v>0</v>
      </c>
      <c r="D464" s="61">
        <f>'21. Sewer - Capex RAB'!D466</f>
        <v>0</v>
      </c>
      <c r="E464" s="61">
        <f>'21. Sewer - Capex RAB'!E466</f>
        <v>0</v>
      </c>
      <c r="F464" s="61">
        <f>'21. Sewer - Capex RAB'!F466</f>
        <v>0</v>
      </c>
      <c r="G464" s="61">
        <f>'21. Sewer - Capex RAB'!G466</f>
        <v>0</v>
      </c>
      <c r="H464" s="61">
        <f>'21. Sewer - Capex RAB'!H466</f>
        <v>0</v>
      </c>
    </row>
    <row r="465" spans="2:8">
      <c r="B465" s="152">
        <f t="shared" si="22"/>
        <v>0</v>
      </c>
      <c r="D465" s="61">
        <f>'21. Sewer - Capex RAB'!D467</f>
        <v>0</v>
      </c>
      <c r="E465" s="61">
        <f>'21. Sewer - Capex RAB'!E467</f>
        <v>0</v>
      </c>
      <c r="F465" s="61">
        <f>'21. Sewer - Capex RAB'!F467</f>
        <v>0</v>
      </c>
      <c r="G465" s="61">
        <f>'21. Sewer - Capex RAB'!G467</f>
        <v>0</v>
      </c>
      <c r="H465" s="61">
        <f>'21. Sewer - Capex RAB'!H467</f>
        <v>0</v>
      </c>
    </row>
    <row r="466" spans="2:8">
      <c r="B466" s="152">
        <f t="shared" si="22"/>
        <v>0</v>
      </c>
      <c r="D466" s="61">
        <f>'21. Sewer - Capex RAB'!D468</f>
        <v>0</v>
      </c>
      <c r="E466" s="61">
        <f>'21. Sewer - Capex RAB'!E468</f>
        <v>0</v>
      </c>
      <c r="F466" s="61">
        <f>'21. Sewer - Capex RAB'!F468</f>
        <v>0</v>
      </c>
      <c r="G466" s="61">
        <f>'21. Sewer - Capex RAB'!G468</f>
        <v>0</v>
      </c>
      <c r="H466" s="61">
        <f>'21. Sewer - Capex RAB'!H468</f>
        <v>0</v>
      </c>
    </row>
    <row r="467" spans="2:8">
      <c r="B467" s="152">
        <f t="shared" si="22"/>
        <v>0</v>
      </c>
      <c r="D467" s="61">
        <f>'21. Sewer - Capex RAB'!D469</f>
        <v>0</v>
      </c>
      <c r="E467" s="61">
        <f>'21. Sewer - Capex RAB'!E469</f>
        <v>0</v>
      </c>
      <c r="F467" s="61">
        <f>'21. Sewer - Capex RAB'!F469</f>
        <v>0</v>
      </c>
      <c r="G467" s="61">
        <f>'21. Sewer - Capex RAB'!G469</f>
        <v>0</v>
      </c>
      <c r="H467" s="61">
        <f>'21. Sewer - Capex RAB'!H469</f>
        <v>0</v>
      </c>
    </row>
    <row r="468" spans="2:8">
      <c r="B468" s="152">
        <f t="shared" si="22"/>
        <v>0</v>
      </c>
      <c r="D468" s="61">
        <f>'21. Sewer - Capex RAB'!D470</f>
        <v>0</v>
      </c>
      <c r="E468" s="61">
        <f>'21. Sewer - Capex RAB'!E470</f>
        <v>0</v>
      </c>
      <c r="F468" s="61">
        <f>'21. Sewer - Capex RAB'!F470</f>
        <v>0</v>
      </c>
      <c r="G468" s="61">
        <f>'21. Sewer - Capex RAB'!G470</f>
        <v>0</v>
      </c>
      <c r="H468" s="61">
        <f>'21. Sewer - Capex RAB'!H470</f>
        <v>0</v>
      </c>
    </row>
    <row r="469" spans="2:8">
      <c r="B469" s="152">
        <f t="shared" si="22"/>
        <v>0</v>
      </c>
      <c r="D469" s="61">
        <f>'21. Sewer - Capex RAB'!D471</f>
        <v>0</v>
      </c>
      <c r="E469" s="61">
        <f>'21. Sewer - Capex RAB'!E471</f>
        <v>0</v>
      </c>
      <c r="F469" s="61">
        <f>'21. Sewer - Capex RAB'!F471</f>
        <v>0</v>
      </c>
      <c r="G469" s="61">
        <f>'21. Sewer - Capex RAB'!G471</f>
        <v>0</v>
      </c>
      <c r="H469" s="61">
        <f>'21. Sewer - Capex RAB'!H471</f>
        <v>0</v>
      </c>
    </row>
    <row r="470" spans="2:8">
      <c r="B470" s="152">
        <f t="shared" si="22"/>
        <v>0</v>
      </c>
      <c r="D470" s="61">
        <f>'21. Sewer - Capex RAB'!D472</f>
        <v>0</v>
      </c>
      <c r="E470" s="61">
        <f>'21. Sewer - Capex RAB'!E472</f>
        <v>0</v>
      </c>
      <c r="F470" s="61">
        <f>'21. Sewer - Capex RAB'!F472</f>
        <v>0</v>
      </c>
      <c r="G470" s="61">
        <f>'21. Sewer - Capex RAB'!G472</f>
        <v>0</v>
      </c>
      <c r="H470" s="61">
        <f>'21. Sewer - Capex RAB'!H472</f>
        <v>0</v>
      </c>
    </row>
    <row r="471" spans="2:8">
      <c r="B471" s="152">
        <f t="shared" si="22"/>
        <v>0</v>
      </c>
      <c r="D471" s="61">
        <f>'21. Sewer - Capex RAB'!D473</f>
        <v>0</v>
      </c>
      <c r="E471" s="61">
        <f>'21. Sewer - Capex RAB'!E473</f>
        <v>0</v>
      </c>
      <c r="F471" s="61">
        <f>'21. Sewer - Capex RAB'!F473</f>
        <v>0</v>
      </c>
      <c r="G471" s="61">
        <f>'21. Sewer - Capex RAB'!G473</f>
        <v>0</v>
      </c>
      <c r="H471" s="61">
        <f>'21. Sewer - Capex RAB'!H473</f>
        <v>0</v>
      </c>
    </row>
    <row r="472" spans="2:8">
      <c r="B472" s="152">
        <f t="shared" si="22"/>
        <v>0</v>
      </c>
      <c r="D472" s="61">
        <f>'21. Sewer - Capex RAB'!D474</f>
        <v>0</v>
      </c>
      <c r="E472" s="61">
        <f>'21. Sewer - Capex RAB'!E474</f>
        <v>0</v>
      </c>
      <c r="F472" s="61">
        <f>'21. Sewer - Capex RAB'!F474</f>
        <v>0</v>
      </c>
      <c r="G472" s="61">
        <f>'21. Sewer - Capex RAB'!G474</f>
        <v>0</v>
      </c>
      <c r="H472" s="61">
        <f>'21. Sewer - Capex RAB'!H474</f>
        <v>0</v>
      </c>
    </row>
    <row r="473" spans="2:8">
      <c r="B473" s="152">
        <f t="shared" si="22"/>
        <v>0</v>
      </c>
      <c r="D473" s="61">
        <f>'21. Sewer - Capex RAB'!D475</f>
        <v>0</v>
      </c>
      <c r="E473" s="61">
        <f>'21. Sewer - Capex RAB'!E475</f>
        <v>0</v>
      </c>
      <c r="F473" s="61">
        <f>'21. Sewer - Capex RAB'!F475</f>
        <v>0</v>
      </c>
      <c r="G473" s="61">
        <f>'21. Sewer - Capex RAB'!G475</f>
        <v>0</v>
      </c>
      <c r="H473" s="61">
        <f>'21. Sewer - Capex RAB'!H475</f>
        <v>0</v>
      </c>
    </row>
    <row r="474" spans="2:8">
      <c r="B474" s="152">
        <f t="shared" si="22"/>
        <v>0</v>
      </c>
      <c r="D474" s="61">
        <f>'21. Sewer - Capex RAB'!D476</f>
        <v>0</v>
      </c>
      <c r="E474" s="61">
        <f>'21. Sewer - Capex RAB'!E476</f>
        <v>0</v>
      </c>
      <c r="F474" s="61">
        <f>'21. Sewer - Capex RAB'!F476</f>
        <v>0</v>
      </c>
      <c r="G474" s="61">
        <f>'21. Sewer - Capex RAB'!G476</f>
        <v>0</v>
      </c>
      <c r="H474" s="61">
        <f>'21. Sewer - Capex RAB'!H476</f>
        <v>0</v>
      </c>
    </row>
    <row r="475" spans="2:8">
      <c r="B475" s="152">
        <f t="shared" si="22"/>
        <v>0</v>
      </c>
      <c r="D475" s="61">
        <f>'21. Sewer - Capex RAB'!D477</f>
        <v>0</v>
      </c>
      <c r="E475" s="61">
        <f>'21. Sewer - Capex RAB'!E477</f>
        <v>0</v>
      </c>
      <c r="F475" s="61">
        <f>'21. Sewer - Capex RAB'!F477</f>
        <v>0</v>
      </c>
      <c r="G475" s="61">
        <f>'21. Sewer - Capex RAB'!G477</f>
        <v>0</v>
      </c>
      <c r="H475" s="61">
        <f>'21. Sewer - Capex RAB'!H477</f>
        <v>0</v>
      </c>
    </row>
    <row r="476" spans="2:8">
      <c r="B476" s="152">
        <f t="shared" si="22"/>
        <v>0</v>
      </c>
      <c r="D476" s="61">
        <f>'21. Sewer - Capex RAB'!D478</f>
        <v>0</v>
      </c>
      <c r="E476" s="61">
        <f>'21. Sewer - Capex RAB'!E478</f>
        <v>0</v>
      </c>
      <c r="F476" s="61">
        <f>'21. Sewer - Capex RAB'!F478</f>
        <v>0</v>
      </c>
      <c r="G476" s="61">
        <f>'21. Sewer - Capex RAB'!G478</f>
        <v>0</v>
      </c>
      <c r="H476" s="61">
        <f>'21. Sewer - Capex RAB'!H478</f>
        <v>0</v>
      </c>
    </row>
    <row r="477" spans="2:8">
      <c r="B477" s="152">
        <f t="shared" si="22"/>
        <v>0</v>
      </c>
      <c r="D477" s="61">
        <f>'21. Sewer - Capex RAB'!D479</f>
        <v>0</v>
      </c>
      <c r="E477" s="61">
        <f>'21. Sewer - Capex RAB'!E479</f>
        <v>0</v>
      </c>
      <c r="F477" s="61">
        <f>'21. Sewer - Capex RAB'!F479</f>
        <v>0</v>
      </c>
      <c r="G477" s="61">
        <f>'21. Sewer - Capex RAB'!G479</f>
        <v>0</v>
      </c>
      <c r="H477" s="61">
        <f>'21. Sewer - Capex RAB'!H479</f>
        <v>0</v>
      </c>
    </row>
    <row r="478" spans="2:8">
      <c r="B478" s="152">
        <f t="shared" si="22"/>
        <v>0</v>
      </c>
      <c r="D478" s="61">
        <f>'21. Sewer - Capex RAB'!D480</f>
        <v>0</v>
      </c>
      <c r="E478" s="61">
        <f>'21. Sewer - Capex RAB'!E480</f>
        <v>0</v>
      </c>
      <c r="F478" s="61">
        <f>'21. Sewer - Capex RAB'!F480</f>
        <v>0</v>
      </c>
      <c r="G478" s="61">
        <f>'21. Sewer - Capex RAB'!G480</f>
        <v>0</v>
      </c>
      <c r="H478" s="61">
        <f>'21. Sewer - Capex RAB'!H480</f>
        <v>0</v>
      </c>
    </row>
    <row r="479" spans="2:8">
      <c r="B479" s="152">
        <f t="shared" si="22"/>
        <v>0</v>
      </c>
      <c r="D479" s="61">
        <f>'21. Sewer - Capex RAB'!D481</f>
        <v>0</v>
      </c>
      <c r="E479" s="61">
        <f>'21. Sewer - Capex RAB'!E481</f>
        <v>0</v>
      </c>
      <c r="F479" s="61">
        <f>'21. Sewer - Capex RAB'!F481</f>
        <v>0</v>
      </c>
      <c r="G479" s="61">
        <f>'21. Sewer - Capex RAB'!G481</f>
        <v>0</v>
      </c>
      <c r="H479" s="61">
        <f>'21. Sewer - Capex RAB'!H481</f>
        <v>0</v>
      </c>
    </row>
    <row r="480" spans="2:8">
      <c r="B480" s="152">
        <f t="shared" si="22"/>
        <v>0</v>
      </c>
      <c r="D480" s="61">
        <f>'21. Sewer - Capex RAB'!D482</f>
        <v>0</v>
      </c>
      <c r="E480" s="61">
        <f>'21. Sewer - Capex RAB'!E482</f>
        <v>0</v>
      </c>
      <c r="F480" s="61">
        <f>'21. Sewer - Capex RAB'!F482</f>
        <v>0</v>
      </c>
      <c r="G480" s="61">
        <f>'21. Sewer - Capex RAB'!G482</f>
        <v>0</v>
      </c>
      <c r="H480" s="61">
        <f>'21. Sewer - Capex RAB'!H482</f>
        <v>0</v>
      </c>
    </row>
    <row r="481" spans="2:8">
      <c r="B481" s="152">
        <f t="shared" si="22"/>
        <v>0</v>
      </c>
      <c r="D481" s="61">
        <f>'21. Sewer - Capex RAB'!D483</f>
        <v>0</v>
      </c>
      <c r="E481" s="61">
        <f>'21. Sewer - Capex RAB'!E483</f>
        <v>0</v>
      </c>
      <c r="F481" s="61">
        <f>'21. Sewer - Capex RAB'!F483</f>
        <v>0</v>
      </c>
      <c r="G481" s="61">
        <f>'21. Sewer - Capex RAB'!G483</f>
        <v>0</v>
      </c>
      <c r="H481" s="61">
        <f>'21. Sewer - Capex RAB'!H483</f>
        <v>0</v>
      </c>
    </row>
    <row r="482" spans="2:8">
      <c r="B482" s="152">
        <f t="shared" si="22"/>
        <v>0</v>
      </c>
      <c r="D482" s="61">
        <f>'21. Sewer - Capex RAB'!D484</f>
        <v>0</v>
      </c>
      <c r="E482" s="61">
        <f>'21. Sewer - Capex RAB'!E484</f>
        <v>0</v>
      </c>
      <c r="F482" s="61">
        <f>'21. Sewer - Capex RAB'!F484</f>
        <v>0</v>
      </c>
      <c r="G482" s="61">
        <f>'21. Sewer - Capex RAB'!G484</f>
        <v>0</v>
      </c>
      <c r="H482" s="61">
        <f>'21. Sewer - Capex RAB'!H484</f>
        <v>0</v>
      </c>
    </row>
    <row r="483" spans="2:8">
      <c r="B483" s="152">
        <f t="shared" ref="B483:B517" si="23">B316</f>
        <v>0</v>
      </c>
      <c r="D483" s="61">
        <f>'21. Sewer - Capex RAB'!D485</f>
        <v>0</v>
      </c>
      <c r="E483" s="61">
        <f>'21. Sewer - Capex RAB'!E485</f>
        <v>0</v>
      </c>
      <c r="F483" s="61">
        <f>'21. Sewer - Capex RAB'!F485</f>
        <v>0</v>
      </c>
      <c r="G483" s="61">
        <f>'21. Sewer - Capex RAB'!G485</f>
        <v>0</v>
      </c>
      <c r="H483" s="61">
        <f>'21. Sewer - Capex RAB'!H485</f>
        <v>0</v>
      </c>
    </row>
    <row r="484" spans="2:8">
      <c r="B484" s="152">
        <f t="shared" si="23"/>
        <v>0</v>
      </c>
      <c r="D484" s="61">
        <f>'21. Sewer - Capex RAB'!D486</f>
        <v>0</v>
      </c>
      <c r="E484" s="61">
        <f>'21. Sewer - Capex RAB'!E486</f>
        <v>0</v>
      </c>
      <c r="F484" s="61">
        <f>'21. Sewer - Capex RAB'!F486</f>
        <v>0</v>
      </c>
      <c r="G484" s="61">
        <f>'21. Sewer - Capex RAB'!G486</f>
        <v>0</v>
      </c>
      <c r="H484" s="61">
        <f>'21. Sewer - Capex RAB'!H486</f>
        <v>0</v>
      </c>
    </row>
    <row r="485" spans="2:8">
      <c r="B485" s="152">
        <f t="shared" si="23"/>
        <v>0</v>
      </c>
      <c r="D485" s="61">
        <f>'21. Sewer - Capex RAB'!D487</f>
        <v>0</v>
      </c>
      <c r="E485" s="61">
        <f>'21. Sewer - Capex RAB'!E487</f>
        <v>0</v>
      </c>
      <c r="F485" s="61">
        <f>'21. Sewer - Capex RAB'!F487</f>
        <v>0</v>
      </c>
      <c r="G485" s="61">
        <f>'21. Sewer - Capex RAB'!G487</f>
        <v>0</v>
      </c>
      <c r="H485" s="61">
        <f>'21. Sewer - Capex RAB'!H487</f>
        <v>0</v>
      </c>
    </row>
    <row r="486" spans="2:8">
      <c r="B486" s="152">
        <f t="shared" si="23"/>
        <v>0</v>
      </c>
      <c r="D486" s="61">
        <f>'21. Sewer - Capex RAB'!D488</f>
        <v>0</v>
      </c>
      <c r="E486" s="61">
        <f>'21. Sewer - Capex RAB'!E488</f>
        <v>0</v>
      </c>
      <c r="F486" s="61">
        <f>'21. Sewer - Capex RAB'!F488</f>
        <v>0</v>
      </c>
      <c r="G486" s="61">
        <f>'21. Sewer - Capex RAB'!G488</f>
        <v>0</v>
      </c>
      <c r="H486" s="61">
        <f>'21. Sewer - Capex RAB'!H488</f>
        <v>0</v>
      </c>
    </row>
    <row r="487" spans="2:8">
      <c r="B487" s="152">
        <f t="shared" si="23"/>
        <v>0</v>
      </c>
      <c r="D487" s="61">
        <f>'21. Sewer - Capex RAB'!D489</f>
        <v>0</v>
      </c>
      <c r="E487" s="61">
        <f>'21. Sewer - Capex RAB'!E489</f>
        <v>0</v>
      </c>
      <c r="F487" s="61">
        <f>'21. Sewer - Capex RAB'!F489</f>
        <v>0</v>
      </c>
      <c r="G487" s="61">
        <f>'21. Sewer - Capex RAB'!G489</f>
        <v>0</v>
      </c>
      <c r="H487" s="61">
        <f>'21. Sewer - Capex RAB'!H489</f>
        <v>0</v>
      </c>
    </row>
    <row r="488" spans="2:8">
      <c r="B488" s="152">
        <f t="shared" si="23"/>
        <v>0</v>
      </c>
      <c r="D488" s="61">
        <f>'21. Sewer - Capex RAB'!D490</f>
        <v>0</v>
      </c>
      <c r="E488" s="61">
        <f>'21. Sewer - Capex RAB'!E490</f>
        <v>0</v>
      </c>
      <c r="F488" s="61">
        <f>'21. Sewer - Capex RAB'!F490</f>
        <v>0</v>
      </c>
      <c r="G488" s="61">
        <f>'21. Sewer - Capex RAB'!G490</f>
        <v>0</v>
      </c>
      <c r="H488" s="61">
        <f>'21. Sewer - Capex RAB'!H490</f>
        <v>0</v>
      </c>
    </row>
    <row r="489" spans="2:8">
      <c r="B489" s="152">
        <f t="shared" si="23"/>
        <v>0</v>
      </c>
      <c r="D489" s="61">
        <f>'21. Sewer - Capex RAB'!D491</f>
        <v>0</v>
      </c>
      <c r="E489" s="61">
        <f>'21. Sewer - Capex RAB'!E491</f>
        <v>0</v>
      </c>
      <c r="F489" s="61">
        <f>'21. Sewer - Capex RAB'!F491</f>
        <v>0</v>
      </c>
      <c r="G489" s="61">
        <f>'21. Sewer - Capex RAB'!G491</f>
        <v>0</v>
      </c>
      <c r="H489" s="61">
        <f>'21. Sewer - Capex RAB'!H491</f>
        <v>0</v>
      </c>
    </row>
    <row r="490" spans="2:8">
      <c r="B490" s="152">
        <f t="shared" si="23"/>
        <v>0</v>
      </c>
      <c r="D490" s="61">
        <f>'21. Sewer - Capex RAB'!D492</f>
        <v>0</v>
      </c>
      <c r="E490" s="61">
        <f>'21. Sewer - Capex RAB'!E492</f>
        <v>0</v>
      </c>
      <c r="F490" s="61">
        <f>'21. Sewer - Capex RAB'!F492</f>
        <v>0</v>
      </c>
      <c r="G490" s="61">
        <f>'21. Sewer - Capex RAB'!G492</f>
        <v>0</v>
      </c>
      <c r="H490" s="61">
        <f>'21. Sewer - Capex RAB'!H492</f>
        <v>0</v>
      </c>
    </row>
    <row r="491" spans="2:8">
      <c r="B491" s="152">
        <f t="shared" si="23"/>
        <v>0</v>
      </c>
      <c r="D491" s="61">
        <f>'21. Sewer - Capex RAB'!D493</f>
        <v>0</v>
      </c>
      <c r="E491" s="61">
        <f>'21. Sewer - Capex RAB'!E493</f>
        <v>0</v>
      </c>
      <c r="F491" s="61">
        <f>'21. Sewer - Capex RAB'!F493</f>
        <v>0</v>
      </c>
      <c r="G491" s="61">
        <f>'21. Sewer - Capex RAB'!G493</f>
        <v>0</v>
      </c>
      <c r="H491" s="61">
        <f>'21. Sewer - Capex RAB'!H493</f>
        <v>0</v>
      </c>
    </row>
    <row r="492" spans="2:8">
      <c r="B492" s="152">
        <f t="shared" si="23"/>
        <v>0</v>
      </c>
      <c r="D492" s="61">
        <f>'21. Sewer - Capex RAB'!D494</f>
        <v>0</v>
      </c>
      <c r="E492" s="61">
        <f>'21. Sewer - Capex RAB'!E494</f>
        <v>0</v>
      </c>
      <c r="F492" s="61">
        <f>'21. Sewer - Capex RAB'!F494</f>
        <v>0</v>
      </c>
      <c r="G492" s="61">
        <f>'21. Sewer - Capex RAB'!G494</f>
        <v>0</v>
      </c>
      <c r="H492" s="61">
        <f>'21. Sewer - Capex RAB'!H494</f>
        <v>0</v>
      </c>
    </row>
    <row r="493" spans="2:8">
      <c r="B493" s="152">
        <f t="shared" si="23"/>
        <v>0</v>
      </c>
      <c r="D493" s="61">
        <f>'21. Sewer - Capex RAB'!D495</f>
        <v>0</v>
      </c>
      <c r="E493" s="61">
        <f>'21. Sewer - Capex RAB'!E495</f>
        <v>0</v>
      </c>
      <c r="F493" s="61">
        <f>'21. Sewer - Capex RAB'!F495</f>
        <v>0</v>
      </c>
      <c r="G493" s="61">
        <f>'21. Sewer - Capex RAB'!G495</f>
        <v>0</v>
      </c>
      <c r="H493" s="61">
        <f>'21. Sewer - Capex RAB'!H495</f>
        <v>0</v>
      </c>
    </row>
    <row r="494" spans="2:8">
      <c r="B494" s="152">
        <f t="shared" si="23"/>
        <v>0</v>
      </c>
      <c r="D494" s="61">
        <f>'21. Sewer - Capex RAB'!D496</f>
        <v>0</v>
      </c>
      <c r="E494" s="61">
        <f>'21. Sewer - Capex RAB'!E496</f>
        <v>0</v>
      </c>
      <c r="F494" s="61">
        <f>'21. Sewer - Capex RAB'!F496</f>
        <v>0</v>
      </c>
      <c r="G494" s="61">
        <f>'21. Sewer - Capex RAB'!G496</f>
        <v>0</v>
      </c>
      <c r="H494" s="61">
        <f>'21. Sewer - Capex RAB'!H496</f>
        <v>0</v>
      </c>
    </row>
    <row r="495" spans="2:8">
      <c r="B495" s="152">
        <f t="shared" si="23"/>
        <v>0</v>
      </c>
      <c r="D495" s="61">
        <f>'21. Sewer - Capex RAB'!D497</f>
        <v>0</v>
      </c>
      <c r="E495" s="61">
        <f>'21. Sewer - Capex RAB'!E497</f>
        <v>0</v>
      </c>
      <c r="F495" s="61">
        <f>'21. Sewer - Capex RAB'!F497</f>
        <v>0</v>
      </c>
      <c r="G495" s="61">
        <f>'21. Sewer - Capex RAB'!G497</f>
        <v>0</v>
      </c>
      <c r="H495" s="61">
        <f>'21. Sewer - Capex RAB'!H497</f>
        <v>0</v>
      </c>
    </row>
    <row r="496" spans="2:8">
      <c r="B496" s="152">
        <f t="shared" si="23"/>
        <v>0</v>
      </c>
      <c r="D496" s="61">
        <f>'21. Sewer - Capex RAB'!D498</f>
        <v>0</v>
      </c>
      <c r="E496" s="61">
        <f>'21. Sewer - Capex RAB'!E498</f>
        <v>0</v>
      </c>
      <c r="F496" s="61">
        <f>'21. Sewer - Capex RAB'!F498</f>
        <v>0</v>
      </c>
      <c r="G496" s="61">
        <f>'21. Sewer - Capex RAB'!G498</f>
        <v>0</v>
      </c>
      <c r="H496" s="61">
        <f>'21. Sewer - Capex RAB'!H498</f>
        <v>0</v>
      </c>
    </row>
    <row r="497" spans="2:8">
      <c r="B497" s="152">
        <f t="shared" si="23"/>
        <v>0</v>
      </c>
      <c r="D497" s="61">
        <f>'21. Sewer - Capex RAB'!D499</f>
        <v>0</v>
      </c>
      <c r="E497" s="61">
        <f>'21. Sewer - Capex RAB'!E499</f>
        <v>0</v>
      </c>
      <c r="F497" s="61">
        <f>'21. Sewer - Capex RAB'!F499</f>
        <v>0</v>
      </c>
      <c r="G497" s="61">
        <f>'21. Sewer - Capex RAB'!G499</f>
        <v>0</v>
      </c>
      <c r="H497" s="61">
        <f>'21. Sewer - Capex RAB'!H499</f>
        <v>0</v>
      </c>
    </row>
    <row r="498" spans="2:8">
      <c r="B498" s="152">
        <f t="shared" si="23"/>
        <v>0</v>
      </c>
      <c r="D498" s="61">
        <f>'21. Sewer - Capex RAB'!D500</f>
        <v>0</v>
      </c>
      <c r="E498" s="61">
        <f>'21. Sewer - Capex RAB'!E500</f>
        <v>0</v>
      </c>
      <c r="F498" s="61">
        <f>'21. Sewer - Capex RAB'!F500</f>
        <v>0</v>
      </c>
      <c r="G498" s="61">
        <f>'21. Sewer - Capex RAB'!G500</f>
        <v>0</v>
      </c>
      <c r="H498" s="61">
        <f>'21. Sewer - Capex RAB'!H500</f>
        <v>0</v>
      </c>
    </row>
    <row r="499" spans="2:8">
      <c r="B499" s="152" t="str">
        <f t="shared" si="23"/>
        <v>Carndo Year 4 Reduction</v>
      </c>
      <c r="D499" s="61">
        <f>'21. Sewer - Capex RAB'!D501</f>
        <v>0</v>
      </c>
      <c r="E499" s="61">
        <f>'21. Sewer - Capex RAB'!E501</f>
        <v>0</v>
      </c>
      <c r="F499" s="61">
        <f>'21. Sewer - Capex RAB'!F501</f>
        <v>0</v>
      </c>
      <c r="G499" s="61">
        <f>'21. Sewer - Capex RAB'!G501</f>
        <v>0</v>
      </c>
      <c r="H499" s="61">
        <f>'21. Sewer - Capex RAB'!H501</f>
        <v>0</v>
      </c>
    </row>
    <row r="500" spans="2:8">
      <c r="B500" s="152" t="str">
        <f t="shared" si="23"/>
        <v>Carndo Year 5 Reduction</v>
      </c>
      <c r="D500" s="61">
        <f>'21. Sewer - Capex RAB'!D502</f>
        <v>0</v>
      </c>
      <c r="E500" s="61">
        <f>'21. Sewer - Capex RAB'!E502</f>
        <v>0</v>
      </c>
      <c r="F500" s="61">
        <f>'21. Sewer - Capex RAB'!F502</f>
        <v>0</v>
      </c>
      <c r="G500" s="61">
        <f>'21. Sewer - Capex RAB'!G502</f>
        <v>0</v>
      </c>
      <c r="H500" s="61">
        <f>'21. Sewer - Capex RAB'!H502</f>
        <v>0</v>
      </c>
    </row>
    <row r="501" spans="2:8">
      <c r="B501" s="152">
        <f t="shared" si="23"/>
        <v>0</v>
      </c>
      <c r="D501" s="61">
        <f>'21. Sewer - Capex RAB'!D503</f>
        <v>0</v>
      </c>
      <c r="E501" s="61">
        <f>'21. Sewer - Capex RAB'!E503</f>
        <v>0</v>
      </c>
      <c r="F501" s="61">
        <f>'21. Sewer - Capex RAB'!F503</f>
        <v>0</v>
      </c>
      <c r="G501" s="61">
        <f>'21. Sewer - Capex RAB'!G503</f>
        <v>0</v>
      </c>
      <c r="H501" s="61">
        <f>'21. Sewer - Capex RAB'!H503</f>
        <v>0</v>
      </c>
    </row>
    <row r="502" spans="2:8">
      <c r="B502" s="152">
        <f t="shared" si="23"/>
        <v>0</v>
      </c>
      <c r="D502" s="61">
        <f>'21. Sewer - Capex RAB'!D504</f>
        <v>0</v>
      </c>
      <c r="E502" s="61">
        <f>'21. Sewer - Capex RAB'!E504</f>
        <v>0</v>
      </c>
      <c r="F502" s="61">
        <f>'21. Sewer - Capex RAB'!F504</f>
        <v>0</v>
      </c>
      <c r="G502" s="61">
        <f>'21. Sewer - Capex RAB'!G504</f>
        <v>0</v>
      </c>
      <c r="H502" s="61">
        <f>'21. Sewer - Capex RAB'!H504</f>
        <v>0</v>
      </c>
    </row>
    <row r="503" spans="2:8">
      <c r="B503" s="152">
        <f t="shared" si="23"/>
        <v>0</v>
      </c>
      <c r="D503" s="61">
        <f>'21. Sewer - Capex RAB'!D505</f>
        <v>0</v>
      </c>
      <c r="E503" s="61">
        <f>'21. Sewer - Capex RAB'!E505</f>
        <v>0</v>
      </c>
      <c r="F503" s="61">
        <f>'21. Sewer - Capex RAB'!F505</f>
        <v>0</v>
      </c>
      <c r="G503" s="61">
        <f>'21. Sewer - Capex RAB'!G505</f>
        <v>0</v>
      </c>
      <c r="H503" s="61">
        <f>'21. Sewer - Capex RAB'!H505</f>
        <v>0</v>
      </c>
    </row>
    <row r="504" spans="2:8">
      <c r="B504" s="152">
        <f t="shared" si="23"/>
        <v>0</v>
      </c>
      <c r="D504" s="61">
        <f>'21. Sewer - Capex RAB'!D506</f>
        <v>0</v>
      </c>
      <c r="E504" s="61">
        <f>'21. Sewer - Capex RAB'!E506</f>
        <v>0</v>
      </c>
      <c r="F504" s="61">
        <f>'21. Sewer - Capex RAB'!F506</f>
        <v>0</v>
      </c>
      <c r="G504" s="61">
        <f>'21. Sewer - Capex RAB'!G506</f>
        <v>0</v>
      </c>
      <c r="H504" s="61">
        <f>'21. Sewer - Capex RAB'!H506</f>
        <v>0</v>
      </c>
    </row>
    <row r="505" spans="2:8">
      <c r="B505" s="152">
        <f t="shared" si="23"/>
        <v>0</v>
      </c>
      <c r="D505" s="61">
        <f>'21. Sewer - Capex RAB'!D507</f>
        <v>0</v>
      </c>
      <c r="E505" s="61">
        <f>'21. Sewer - Capex RAB'!E507</f>
        <v>0</v>
      </c>
      <c r="F505" s="61">
        <f>'21. Sewer - Capex RAB'!F507</f>
        <v>0</v>
      </c>
      <c r="G505" s="61">
        <f>'21. Sewer - Capex RAB'!G507</f>
        <v>0</v>
      </c>
      <c r="H505" s="61">
        <f>'21. Sewer - Capex RAB'!H507</f>
        <v>0</v>
      </c>
    </row>
    <row r="506" spans="2:8">
      <c r="B506" s="152">
        <f t="shared" si="23"/>
        <v>0</v>
      </c>
      <c r="D506" s="61">
        <f>'21. Sewer - Capex RAB'!D508</f>
        <v>0</v>
      </c>
      <c r="E506" s="61">
        <f>'21. Sewer - Capex RAB'!E508</f>
        <v>0</v>
      </c>
      <c r="F506" s="61">
        <f>'21. Sewer - Capex RAB'!F508</f>
        <v>0</v>
      </c>
      <c r="G506" s="61">
        <f>'21. Sewer - Capex RAB'!G508</f>
        <v>0</v>
      </c>
      <c r="H506" s="61">
        <f>'21. Sewer - Capex RAB'!H508</f>
        <v>0</v>
      </c>
    </row>
    <row r="507" spans="2:8">
      <c r="B507" s="152">
        <f t="shared" si="23"/>
        <v>0</v>
      </c>
      <c r="D507" s="61">
        <f>'21. Sewer - Capex RAB'!D509</f>
        <v>0</v>
      </c>
      <c r="E507" s="61">
        <f>'21. Sewer - Capex RAB'!E509</f>
        <v>0</v>
      </c>
      <c r="F507" s="61">
        <f>'21. Sewer - Capex RAB'!F509</f>
        <v>0</v>
      </c>
      <c r="G507" s="61">
        <f>'21. Sewer - Capex RAB'!G509</f>
        <v>0</v>
      </c>
      <c r="H507" s="61">
        <f>'21. Sewer - Capex RAB'!H509</f>
        <v>0</v>
      </c>
    </row>
    <row r="508" spans="2:8">
      <c r="B508" s="152">
        <f t="shared" si="23"/>
        <v>0</v>
      </c>
      <c r="D508" s="61">
        <f>'21. Sewer - Capex RAB'!D510</f>
        <v>0</v>
      </c>
      <c r="E508" s="61">
        <f>'21. Sewer - Capex RAB'!E510</f>
        <v>0</v>
      </c>
      <c r="F508" s="61">
        <f>'21. Sewer - Capex RAB'!F510</f>
        <v>0</v>
      </c>
      <c r="G508" s="61">
        <f>'21. Sewer - Capex RAB'!G510</f>
        <v>0</v>
      </c>
      <c r="H508" s="61">
        <f>'21. Sewer - Capex RAB'!H510</f>
        <v>0</v>
      </c>
    </row>
    <row r="509" spans="2:8">
      <c r="B509" s="152">
        <f t="shared" si="23"/>
        <v>0</v>
      </c>
      <c r="D509" s="61">
        <f>'21. Sewer - Capex RAB'!D511</f>
        <v>0</v>
      </c>
      <c r="E509" s="61">
        <f>'21. Sewer - Capex RAB'!E511</f>
        <v>0</v>
      </c>
      <c r="F509" s="61">
        <f>'21. Sewer - Capex RAB'!F511</f>
        <v>0</v>
      </c>
      <c r="G509" s="61">
        <f>'21. Sewer - Capex RAB'!G511</f>
        <v>0</v>
      </c>
      <c r="H509" s="61">
        <f>'21. Sewer - Capex RAB'!H511</f>
        <v>0</v>
      </c>
    </row>
    <row r="510" spans="2:8">
      <c r="B510" s="152">
        <f t="shared" si="23"/>
        <v>0</v>
      </c>
      <c r="D510" s="61">
        <f>'21. Sewer - Capex RAB'!D512</f>
        <v>0</v>
      </c>
      <c r="E510" s="61">
        <f>'21. Sewer - Capex RAB'!E512</f>
        <v>0</v>
      </c>
      <c r="F510" s="61">
        <f>'21. Sewer - Capex RAB'!F512</f>
        <v>0</v>
      </c>
      <c r="G510" s="61">
        <f>'21. Sewer - Capex RAB'!G512</f>
        <v>0</v>
      </c>
      <c r="H510" s="61">
        <f>'21. Sewer - Capex RAB'!H512</f>
        <v>0</v>
      </c>
    </row>
    <row r="511" spans="2:8">
      <c r="B511" s="152">
        <f t="shared" si="23"/>
        <v>0</v>
      </c>
      <c r="D511" s="61">
        <f>'21. Sewer - Capex RAB'!D513</f>
        <v>0</v>
      </c>
      <c r="E511" s="61">
        <f>'21. Sewer - Capex RAB'!E513</f>
        <v>0</v>
      </c>
      <c r="F511" s="61">
        <f>'21. Sewer - Capex RAB'!F513</f>
        <v>0</v>
      </c>
      <c r="G511" s="61">
        <f>'21. Sewer - Capex RAB'!G513</f>
        <v>0</v>
      </c>
      <c r="H511" s="61">
        <f>'21. Sewer - Capex RAB'!H513</f>
        <v>0</v>
      </c>
    </row>
    <row r="512" spans="2:8">
      <c r="B512" s="152">
        <f t="shared" si="23"/>
        <v>0</v>
      </c>
      <c r="D512" s="61">
        <f>'21. Sewer - Capex RAB'!D514</f>
        <v>0</v>
      </c>
      <c r="E512" s="61">
        <f>'21. Sewer - Capex RAB'!E514</f>
        <v>0</v>
      </c>
      <c r="F512" s="61">
        <f>'21. Sewer - Capex RAB'!F514</f>
        <v>0</v>
      </c>
      <c r="G512" s="61">
        <f>'21. Sewer - Capex RAB'!G514</f>
        <v>0</v>
      </c>
      <c r="H512" s="61">
        <f>'21. Sewer - Capex RAB'!H514</f>
        <v>0</v>
      </c>
    </row>
    <row r="513" spans="2:8">
      <c r="B513" s="152">
        <f t="shared" si="23"/>
        <v>0</v>
      </c>
      <c r="D513" s="61">
        <f>'21. Sewer - Capex RAB'!D515</f>
        <v>0</v>
      </c>
      <c r="E513" s="61">
        <f>'21. Sewer - Capex RAB'!E515</f>
        <v>0</v>
      </c>
      <c r="F513" s="61">
        <f>'21. Sewer - Capex RAB'!F515</f>
        <v>0</v>
      </c>
      <c r="G513" s="61">
        <f>'21. Sewer - Capex RAB'!G515</f>
        <v>0</v>
      </c>
      <c r="H513" s="61">
        <f>'21. Sewer - Capex RAB'!H515</f>
        <v>0</v>
      </c>
    </row>
    <row r="514" spans="2:8">
      <c r="B514" s="152">
        <f t="shared" si="23"/>
        <v>0</v>
      </c>
      <c r="D514" s="61">
        <f>'21. Sewer - Capex RAB'!D516</f>
        <v>0</v>
      </c>
      <c r="E514" s="61">
        <f>'21. Sewer - Capex RAB'!E516</f>
        <v>0</v>
      </c>
      <c r="F514" s="61">
        <f>'21. Sewer - Capex RAB'!F516</f>
        <v>0</v>
      </c>
      <c r="G514" s="61">
        <f>'21. Sewer - Capex RAB'!G516</f>
        <v>0</v>
      </c>
      <c r="H514" s="61">
        <f>'21. Sewer - Capex RAB'!H516</f>
        <v>0</v>
      </c>
    </row>
    <row r="515" spans="2:8">
      <c r="B515" s="152">
        <f t="shared" si="23"/>
        <v>0</v>
      </c>
      <c r="D515" s="61">
        <f>'21. Sewer - Capex RAB'!D517</f>
        <v>0</v>
      </c>
      <c r="E515" s="61">
        <f>'21. Sewer - Capex RAB'!E517</f>
        <v>0</v>
      </c>
      <c r="F515" s="61">
        <f>'21. Sewer - Capex RAB'!F517</f>
        <v>0</v>
      </c>
      <c r="G515" s="61">
        <f>'21. Sewer - Capex RAB'!G517</f>
        <v>0</v>
      </c>
      <c r="H515" s="61">
        <f>'21. Sewer - Capex RAB'!H517</f>
        <v>0</v>
      </c>
    </row>
    <row r="516" spans="2:8">
      <c r="B516" s="152">
        <f t="shared" si="23"/>
        <v>0</v>
      </c>
      <c r="D516" s="61">
        <f>'21. Sewer - Capex RAB'!D518</f>
        <v>0</v>
      </c>
      <c r="E516" s="61">
        <f>'21. Sewer - Capex RAB'!E518</f>
        <v>0</v>
      </c>
      <c r="F516" s="61">
        <f>'21. Sewer - Capex RAB'!F518</f>
        <v>0</v>
      </c>
      <c r="G516" s="61">
        <f>'21. Sewer - Capex RAB'!G518</f>
        <v>0</v>
      </c>
      <c r="H516" s="61">
        <f>'21. Sewer - Capex RAB'!H518</f>
        <v>0</v>
      </c>
    </row>
    <row r="517" spans="2:8">
      <c r="B517" s="152">
        <f t="shared" si="23"/>
        <v>0</v>
      </c>
      <c r="D517" s="61">
        <f>'21. Sewer - Capex RAB'!D519</f>
        <v>0</v>
      </c>
      <c r="E517" s="61">
        <f>'21. Sewer - Capex RAB'!E519</f>
        <v>0</v>
      </c>
      <c r="F517" s="61">
        <f>'21. Sewer - Capex RAB'!F519</f>
        <v>0</v>
      </c>
      <c r="G517" s="61">
        <f>'21. Sewer - Capex RAB'!G519</f>
        <v>0</v>
      </c>
      <c r="H517" s="61">
        <f>'21. Sewer - Capex RAB'!H519</f>
        <v>0</v>
      </c>
    </row>
    <row r="518" spans="2:8">
      <c r="B518" s="152" t="s">
        <v>52</v>
      </c>
      <c r="D518" s="48">
        <f>SUM(D354:D517)</f>
        <v>0</v>
      </c>
      <c r="E518" s="48">
        <f>SUM(E354:E517)</f>
        <v>0</v>
      </c>
      <c r="F518" s="48">
        <f>SUM(F354:F517)</f>
        <v>0</v>
      </c>
      <c r="G518" s="48">
        <f>SUM(G354:G517)</f>
        <v>0</v>
      </c>
      <c r="H518" s="48">
        <f>SUM(H354:H517)</f>
        <v>0</v>
      </c>
    </row>
    <row r="519" spans="2:8">
      <c r="B519" s="152"/>
      <c r="D519" s="70"/>
      <c r="E519" s="70"/>
      <c r="F519" s="70"/>
      <c r="G519" s="70"/>
      <c r="H519" s="70"/>
    </row>
    <row r="520" spans="2:8" ht="15.75">
      <c r="B520" s="151" t="s">
        <v>18</v>
      </c>
      <c r="D520" s="30"/>
      <c r="E520" s="30"/>
      <c r="F520" s="30"/>
      <c r="G520" s="30"/>
      <c r="H520" s="30"/>
    </row>
    <row r="521" spans="2:8">
      <c r="B521" s="152">
        <f>B354</f>
        <v>0</v>
      </c>
      <c r="D521" s="30">
        <f>IF('19. Sewer - Capex Input'!$I4=D$3,'19. Sewer - Capex Input'!$J4,0)</f>
        <v>165541.26499999998</v>
      </c>
      <c r="E521" s="30">
        <f>IF('19. Sewer - Capex Input'!$I4=E$3,'19. Sewer - Capex Input'!$J4,0)</f>
        <v>0</v>
      </c>
      <c r="F521" s="30">
        <f>IF('19. Sewer - Capex Input'!$I4=F$3,'19. Sewer - Capex Input'!$J4,0)</f>
        <v>0</v>
      </c>
      <c r="G521" s="30">
        <f>IF('19. Sewer - Capex Input'!$I4=G$3,'19. Sewer - Capex Input'!$J4,0)</f>
        <v>0</v>
      </c>
      <c r="H521" s="30">
        <f>IF('19. Sewer - Capex Input'!$I4=H$3,'19. Sewer - Capex Input'!$J4,0)</f>
        <v>0</v>
      </c>
    </row>
    <row r="522" spans="2:8">
      <c r="B522" s="152">
        <f>B355</f>
        <v>0</v>
      </c>
      <c r="D522" s="30">
        <f>IF('19. Sewer - Capex Input'!$I5=D$3,'19. Sewer - Capex Input'!$J5,0)</f>
        <v>0</v>
      </c>
      <c r="E522" s="30">
        <f>IF('19. Sewer - Capex Input'!$I5=E$3,'19. Sewer - Capex Input'!$J5,0)</f>
        <v>508985.67499999999</v>
      </c>
      <c r="F522" s="30">
        <f>IF('19. Sewer - Capex Input'!$I5=F$3,'19. Sewer - Capex Input'!$J5,0)</f>
        <v>0</v>
      </c>
      <c r="G522" s="30">
        <f>IF('19. Sewer - Capex Input'!$I5=G$3,'19. Sewer - Capex Input'!$J5,0)</f>
        <v>0</v>
      </c>
      <c r="H522" s="30">
        <f>IF('19. Sewer - Capex Input'!$I5=H$3,'19. Sewer - Capex Input'!$J5,0)</f>
        <v>0</v>
      </c>
    </row>
    <row r="523" spans="2:8">
      <c r="B523" s="152">
        <f t="shared" ref="B523:B586" si="24">B356</f>
        <v>0</v>
      </c>
      <c r="D523" s="30">
        <f>IF('19. Sewer - Capex Input'!$I6=D$3,'19. Sewer - Capex Input'!$J6,0)</f>
        <v>0</v>
      </c>
      <c r="E523" s="30">
        <f>IF('19. Sewer - Capex Input'!$I6=E$3,'19. Sewer - Capex Input'!$J6,0)</f>
        <v>0</v>
      </c>
      <c r="F523" s="30">
        <f>IF('19. Sewer - Capex Input'!$I6=F$3,'19. Sewer - Capex Input'!$J6,0)</f>
        <v>105433.5</v>
      </c>
      <c r="G523" s="30">
        <f>IF('19. Sewer - Capex Input'!$I6=G$3,'19. Sewer - Capex Input'!$J6,0)</f>
        <v>0</v>
      </c>
      <c r="H523" s="30">
        <f>IF('19. Sewer - Capex Input'!$I6=H$3,'19. Sewer - Capex Input'!$J6,0)</f>
        <v>0</v>
      </c>
    </row>
    <row r="524" spans="2:8">
      <c r="B524" s="152">
        <f t="shared" si="24"/>
        <v>0</v>
      </c>
      <c r="D524" s="30">
        <f>IF('19. Sewer - Capex Input'!$I7=D$3,'19. Sewer - Capex Input'!$J7,0)</f>
        <v>98315.540000000008</v>
      </c>
      <c r="E524" s="30">
        <f>IF('19. Sewer - Capex Input'!$I7=E$3,'19. Sewer - Capex Input'!$J7,0)</f>
        <v>0</v>
      </c>
      <c r="F524" s="30">
        <f>IF('19. Sewer - Capex Input'!$I7=F$3,'19. Sewer - Capex Input'!$J7,0)</f>
        <v>0</v>
      </c>
      <c r="G524" s="30">
        <f>IF('19. Sewer - Capex Input'!$I7=G$3,'19. Sewer - Capex Input'!$J7,0)</f>
        <v>0</v>
      </c>
      <c r="H524" s="30">
        <f>IF('19. Sewer - Capex Input'!$I7=H$3,'19. Sewer - Capex Input'!$J7,0)</f>
        <v>0</v>
      </c>
    </row>
    <row r="525" spans="2:8">
      <c r="B525" s="152">
        <f t="shared" si="24"/>
        <v>0</v>
      </c>
      <c r="D525" s="30">
        <f>IF('19. Sewer - Capex Input'!$I8=D$3,'19. Sewer - Capex Input'!$J8,0)</f>
        <v>0</v>
      </c>
      <c r="E525" s="30">
        <f>IF('19. Sewer - Capex Input'!$I8=E$3,'19. Sewer - Capex Input'!$J8,0)</f>
        <v>4229.0950000000003</v>
      </c>
      <c r="F525" s="30">
        <f>IF('19. Sewer - Capex Input'!$I8=F$3,'19. Sewer - Capex Input'!$J8,0)</f>
        <v>0</v>
      </c>
      <c r="G525" s="30">
        <f>IF('19. Sewer - Capex Input'!$I8=G$3,'19. Sewer - Capex Input'!$J8,0)</f>
        <v>0</v>
      </c>
      <c r="H525" s="30">
        <f>IF('19. Sewer - Capex Input'!$I8=H$3,'19. Sewer - Capex Input'!$J8,0)</f>
        <v>0</v>
      </c>
    </row>
    <row r="526" spans="2:8">
      <c r="B526" s="152">
        <f t="shared" si="24"/>
        <v>0</v>
      </c>
      <c r="D526" s="30">
        <f>IF('19. Sewer - Capex Input'!$I9=D$3,'19. Sewer - Capex Input'!$J9,0)</f>
        <v>273176.2</v>
      </c>
      <c r="E526" s="30">
        <f>IF('19. Sewer - Capex Input'!$I9=E$3,'19. Sewer - Capex Input'!$J9,0)</f>
        <v>0</v>
      </c>
      <c r="F526" s="30">
        <f>IF('19. Sewer - Capex Input'!$I9=F$3,'19. Sewer - Capex Input'!$J9,0)</f>
        <v>0</v>
      </c>
      <c r="G526" s="30">
        <f>IF('19. Sewer - Capex Input'!$I9=G$3,'19. Sewer - Capex Input'!$J9,0)</f>
        <v>0</v>
      </c>
      <c r="H526" s="30">
        <f>IF('19. Sewer - Capex Input'!$I9=H$3,'19. Sewer - Capex Input'!$J9,0)</f>
        <v>0</v>
      </c>
    </row>
    <row r="527" spans="2:8">
      <c r="B527" s="152">
        <f t="shared" si="24"/>
        <v>0</v>
      </c>
      <c r="D527" s="30">
        <f>IF('19. Sewer - Capex Input'!$I10=D$3,'19. Sewer - Capex Input'!$J10,0)</f>
        <v>0</v>
      </c>
      <c r="E527" s="30">
        <f>IF('19. Sewer - Capex Input'!$I10=E$3,'19. Sewer - Capex Input'!$J10,0)</f>
        <v>1836153.4933333334</v>
      </c>
      <c r="F527" s="30">
        <f>IF('19. Sewer - Capex Input'!$I10=F$3,'19. Sewer - Capex Input'!$J10,0)</f>
        <v>0</v>
      </c>
      <c r="G527" s="30">
        <f>IF('19. Sewer - Capex Input'!$I10=G$3,'19. Sewer - Capex Input'!$J10,0)</f>
        <v>0</v>
      </c>
      <c r="H527" s="30">
        <f>IF('19. Sewer - Capex Input'!$I10=H$3,'19. Sewer - Capex Input'!$J10,0)</f>
        <v>0</v>
      </c>
    </row>
    <row r="528" spans="2:8">
      <c r="B528" s="152">
        <f t="shared" si="24"/>
        <v>0</v>
      </c>
      <c r="D528" s="30">
        <f>IF('19. Sewer - Capex Input'!$I11=D$3,'19. Sewer - Capex Input'!$J11,0)</f>
        <v>0</v>
      </c>
      <c r="E528" s="30">
        <f>IF('19. Sewer - Capex Input'!$I11=E$3,'19. Sewer - Capex Input'!$J11,0)</f>
        <v>0</v>
      </c>
      <c r="F528" s="30">
        <f>IF('19. Sewer - Capex Input'!$I11=F$3,'19. Sewer - Capex Input'!$J11,0)</f>
        <v>4350000</v>
      </c>
      <c r="G528" s="30">
        <f>IF('19. Sewer - Capex Input'!$I11=G$3,'19. Sewer - Capex Input'!$J11,0)</f>
        <v>0</v>
      </c>
      <c r="H528" s="30">
        <f>IF('19. Sewer - Capex Input'!$I11=H$3,'19. Sewer - Capex Input'!$J11,0)</f>
        <v>0</v>
      </c>
    </row>
    <row r="529" spans="2:8">
      <c r="B529" s="152">
        <f t="shared" si="24"/>
        <v>0</v>
      </c>
      <c r="D529" s="30">
        <f>IF('19. Sewer - Capex Input'!$I12=D$3,'19. Sewer - Capex Input'!$J12,0)</f>
        <v>2321610.9</v>
      </c>
      <c r="E529" s="30">
        <f>IF('19. Sewer - Capex Input'!$I12=E$3,'19. Sewer - Capex Input'!$J12,0)</f>
        <v>0</v>
      </c>
      <c r="F529" s="30">
        <f>IF('19. Sewer - Capex Input'!$I12=F$3,'19. Sewer - Capex Input'!$J12,0)</f>
        <v>0</v>
      </c>
      <c r="G529" s="30">
        <f>IF('19. Sewer - Capex Input'!$I12=G$3,'19. Sewer - Capex Input'!$J12,0)</f>
        <v>0</v>
      </c>
      <c r="H529" s="30">
        <f>IF('19. Sewer - Capex Input'!$I12=H$3,'19. Sewer - Capex Input'!$J12,0)</f>
        <v>0</v>
      </c>
    </row>
    <row r="530" spans="2:8">
      <c r="B530" s="152">
        <f t="shared" si="24"/>
        <v>0</v>
      </c>
      <c r="D530" s="30">
        <f>IF('19. Sewer - Capex Input'!$I13=D$3,'19. Sewer - Capex Input'!$J13,0)</f>
        <v>0</v>
      </c>
      <c r="E530" s="30">
        <f>IF('19. Sewer - Capex Input'!$I13=E$3,'19. Sewer - Capex Input'!$J13,0)</f>
        <v>2287101.7799999998</v>
      </c>
      <c r="F530" s="30">
        <f>IF('19. Sewer - Capex Input'!$I13=F$3,'19. Sewer - Capex Input'!$J13,0)</f>
        <v>0</v>
      </c>
      <c r="G530" s="30">
        <f>IF('19. Sewer - Capex Input'!$I13=G$3,'19. Sewer - Capex Input'!$J13,0)</f>
        <v>0</v>
      </c>
      <c r="H530" s="30">
        <f>IF('19. Sewer - Capex Input'!$I13=H$3,'19. Sewer - Capex Input'!$J13,0)</f>
        <v>0</v>
      </c>
    </row>
    <row r="531" spans="2:8">
      <c r="B531" s="152">
        <f t="shared" si="24"/>
        <v>0</v>
      </c>
      <c r="D531" s="30">
        <f>IF('19. Sewer - Capex Input'!$I14=D$3,'19. Sewer - Capex Input'!$J14,0)</f>
        <v>0</v>
      </c>
      <c r="E531" s="30">
        <f>IF('19. Sewer - Capex Input'!$I14=E$3,'19. Sewer - Capex Input'!$J14,0)</f>
        <v>0</v>
      </c>
      <c r="F531" s="30">
        <f>IF('19. Sewer - Capex Input'!$I14=F$3,'19. Sewer - Capex Input'!$J14,0)</f>
        <v>5196339</v>
      </c>
      <c r="G531" s="30">
        <f>IF('19. Sewer - Capex Input'!$I14=G$3,'19. Sewer - Capex Input'!$J14,0)</f>
        <v>0</v>
      </c>
      <c r="H531" s="30">
        <f>IF('19. Sewer - Capex Input'!$I14=H$3,'19. Sewer - Capex Input'!$J14,0)</f>
        <v>0</v>
      </c>
    </row>
    <row r="532" spans="2:8">
      <c r="B532" s="152">
        <f t="shared" si="24"/>
        <v>0</v>
      </c>
      <c r="D532" s="30">
        <f>IF('19. Sewer - Capex Input'!$I15=D$3,'19. Sewer - Capex Input'!$J15,0)</f>
        <v>0</v>
      </c>
      <c r="E532" s="30">
        <f>IF('19. Sewer - Capex Input'!$I15=E$3,'19. Sewer - Capex Input'!$J15,0)</f>
        <v>0</v>
      </c>
      <c r="F532" s="30">
        <f>IF('19. Sewer - Capex Input'!$I15=F$3,'19. Sewer - Capex Input'!$J15,0)</f>
        <v>0</v>
      </c>
      <c r="G532" s="30">
        <f>IF('19. Sewer - Capex Input'!$I15=G$3,'19. Sewer - Capex Input'!$J15,0)</f>
        <v>39654411</v>
      </c>
      <c r="H532" s="30">
        <f>IF('19. Sewer - Capex Input'!$I15=H$3,'19. Sewer - Capex Input'!$J15,0)</f>
        <v>0</v>
      </c>
    </row>
    <row r="533" spans="2:8">
      <c r="B533" s="152">
        <f t="shared" si="24"/>
        <v>0</v>
      </c>
      <c r="D533" s="30">
        <f>IF('19. Sewer - Capex Input'!$I16=D$3,'19. Sewer - Capex Input'!$J16,0)</f>
        <v>0</v>
      </c>
      <c r="E533" s="30">
        <f>IF('19. Sewer - Capex Input'!$I16=E$3,'19. Sewer - Capex Input'!$J16,0)</f>
        <v>0</v>
      </c>
      <c r="F533" s="30">
        <f>IF('19. Sewer - Capex Input'!$I16=F$3,'19. Sewer - Capex Input'!$J16,0)</f>
        <v>0</v>
      </c>
      <c r="G533" s="30">
        <f>IF('19. Sewer - Capex Input'!$I16=G$3,'19. Sewer - Capex Input'!$J16,0)</f>
        <v>0</v>
      </c>
      <c r="H533" s="30">
        <f>IF('19. Sewer - Capex Input'!$I16=H$3,'19. Sewer - Capex Input'!$J16,0)</f>
        <v>13949367</v>
      </c>
    </row>
    <row r="534" spans="2:8">
      <c r="B534" s="152">
        <f t="shared" si="24"/>
        <v>0</v>
      </c>
      <c r="D534" s="30">
        <f>IF('19. Sewer - Capex Input'!$I17=D$3,'19. Sewer - Capex Input'!$J17,0)</f>
        <v>0</v>
      </c>
      <c r="E534" s="30">
        <f>IF('19. Sewer - Capex Input'!$I17=E$3,'19. Sewer - Capex Input'!$J17,0)</f>
        <v>9715392</v>
      </c>
      <c r="F534" s="30">
        <f>IF('19. Sewer - Capex Input'!$I17=F$3,'19. Sewer - Capex Input'!$J17,0)</f>
        <v>0</v>
      </c>
      <c r="G534" s="30">
        <f>IF('19. Sewer - Capex Input'!$I17=G$3,'19. Sewer - Capex Input'!$J17,0)</f>
        <v>0</v>
      </c>
      <c r="H534" s="30">
        <f>IF('19. Sewer - Capex Input'!$I17=H$3,'19. Sewer - Capex Input'!$J17,0)</f>
        <v>0</v>
      </c>
    </row>
    <row r="535" spans="2:8">
      <c r="B535" s="152">
        <f t="shared" si="24"/>
        <v>0</v>
      </c>
      <c r="D535" s="30">
        <f>IF('19. Sewer - Capex Input'!$I18=D$3,'19. Sewer - Capex Input'!$J18,0)</f>
        <v>0</v>
      </c>
      <c r="E535" s="30">
        <f>IF('19. Sewer - Capex Input'!$I18=E$3,'19. Sewer - Capex Input'!$J18,0)</f>
        <v>0</v>
      </c>
      <c r="F535" s="30">
        <f>IF('19. Sewer - Capex Input'!$I18=F$3,'19. Sewer - Capex Input'!$J18,0)</f>
        <v>9061572</v>
      </c>
      <c r="G535" s="30">
        <f>IF('19. Sewer - Capex Input'!$I18=G$3,'19. Sewer - Capex Input'!$J18,0)</f>
        <v>0</v>
      </c>
      <c r="H535" s="30">
        <f>IF('19. Sewer - Capex Input'!$I18=H$3,'19. Sewer - Capex Input'!$J18,0)</f>
        <v>0</v>
      </c>
    </row>
    <row r="536" spans="2:8">
      <c r="B536" s="152">
        <f t="shared" si="24"/>
        <v>0</v>
      </c>
      <c r="D536" s="30">
        <f>IF('19. Sewer - Capex Input'!$I19=D$3,'19. Sewer - Capex Input'!$J19,0)</f>
        <v>0</v>
      </c>
      <c r="E536" s="30">
        <f>IF('19. Sewer - Capex Input'!$I19=E$3,'19. Sewer - Capex Input'!$J19,0)</f>
        <v>0</v>
      </c>
      <c r="F536" s="30">
        <f>IF('19. Sewer - Capex Input'!$I19=F$3,'19. Sewer - Capex Input'!$J19,0)</f>
        <v>0</v>
      </c>
      <c r="G536" s="30">
        <f>IF('19. Sewer - Capex Input'!$I19=G$3,'19. Sewer - Capex Input'!$J19,0)</f>
        <v>9316492</v>
      </c>
      <c r="H536" s="30">
        <f>IF('19. Sewer - Capex Input'!$I19=H$3,'19. Sewer - Capex Input'!$J19,0)</f>
        <v>0</v>
      </c>
    </row>
    <row r="537" spans="2:8">
      <c r="B537" s="152">
        <f t="shared" si="24"/>
        <v>0</v>
      </c>
      <c r="D537" s="30">
        <f>IF('19. Sewer - Capex Input'!$I20=D$3,'19. Sewer - Capex Input'!$J20,0)</f>
        <v>0</v>
      </c>
      <c r="E537" s="30">
        <f>IF('19. Sewer - Capex Input'!$I20=E$3,'19. Sewer - Capex Input'!$J20,0)</f>
        <v>0</v>
      </c>
      <c r="F537" s="30">
        <f>IF('19. Sewer - Capex Input'!$I20=F$3,'19. Sewer - Capex Input'!$J20,0)</f>
        <v>0</v>
      </c>
      <c r="G537" s="30">
        <f>IF('19. Sewer - Capex Input'!$I20=G$3,'19. Sewer - Capex Input'!$J20,0)</f>
        <v>0</v>
      </c>
      <c r="H537" s="30">
        <f>IF('19. Sewer - Capex Input'!$I20=H$3,'19. Sewer - Capex Input'!$J20,0)</f>
        <v>9587982</v>
      </c>
    </row>
    <row r="538" spans="2:8">
      <c r="B538" s="152">
        <f t="shared" si="24"/>
        <v>0</v>
      </c>
      <c r="D538" s="30">
        <f>IF('19. Sewer - Capex Input'!$I21=D$3,'19. Sewer - Capex Input'!$J21,0)</f>
        <v>0</v>
      </c>
      <c r="E538" s="30">
        <f>IF('19. Sewer - Capex Input'!$I21=E$3,'19. Sewer - Capex Input'!$J21,0)</f>
        <v>274018.228</v>
      </c>
      <c r="F538" s="30">
        <f>IF('19. Sewer - Capex Input'!$I21=F$3,'19. Sewer - Capex Input'!$J21,0)</f>
        <v>0</v>
      </c>
      <c r="G538" s="30">
        <f>IF('19. Sewer - Capex Input'!$I21=G$3,'19. Sewer - Capex Input'!$J21,0)</f>
        <v>0</v>
      </c>
      <c r="H538" s="30">
        <f>IF('19. Sewer - Capex Input'!$I21=H$3,'19. Sewer - Capex Input'!$J21,0)</f>
        <v>0</v>
      </c>
    </row>
    <row r="539" spans="2:8">
      <c r="B539" s="152">
        <f t="shared" si="24"/>
        <v>0</v>
      </c>
      <c r="D539" s="30">
        <f>IF('19. Sewer - Capex Input'!$I22=D$3,'19. Sewer - Capex Input'!$J22,0)</f>
        <v>0</v>
      </c>
      <c r="E539" s="30">
        <f>IF('19. Sewer - Capex Input'!$I22=E$3,'19. Sewer - Capex Input'!$J22,0)</f>
        <v>0</v>
      </c>
      <c r="F539" s="30">
        <f>IF('19. Sewer - Capex Input'!$I22=F$3,'19. Sewer - Capex Input'!$J22,0)</f>
        <v>8232432</v>
      </c>
      <c r="G539" s="30">
        <f>IF('19. Sewer - Capex Input'!$I22=G$3,'19. Sewer - Capex Input'!$J22,0)</f>
        <v>0</v>
      </c>
      <c r="H539" s="30">
        <f>IF('19. Sewer - Capex Input'!$I22=H$3,'19. Sewer - Capex Input'!$J22,0)</f>
        <v>0</v>
      </c>
    </row>
    <row r="540" spans="2:8">
      <c r="B540" s="152">
        <f t="shared" si="24"/>
        <v>0</v>
      </c>
      <c r="D540" s="30">
        <f>IF('19. Sewer - Capex Input'!$I23=D$3,'19. Sewer - Capex Input'!$J23,0)</f>
        <v>0</v>
      </c>
      <c r="E540" s="30">
        <f>IF('19. Sewer - Capex Input'!$I23=E$3,'19. Sewer - Capex Input'!$J23,0)</f>
        <v>0</v>
      </c>
      <c r="F540" s="30">
        <f>IF('19. Sewer - Capex Input'!$I23=F$3,'19. Sewer - Capex Input'!$J23,0)</f>
        <v>0</v>
      </c>
      <c r="G540" s="30">
        <f>IF('19. Sewer - Capex Input'!$I23=G$3,'19. Sewer - Capex Input'!$J23,0)</f>
        <v>11666751</v>
      </c>
      <c r="H540" s="30">
        <f>IF('19. Sewer - Capex Input'!$I23=H$3,'19. Sewer - Capex Input'!$J23,0)</f>
        <v>0</v>
      </c>
    </row>
    <row r="541" spans="2:8">
      <c r="B541" s="152">
        <f t="shared" si="24"/>
        <v>0</v>
      </c>
      <c r="D541" s="30">
        <f>IF('19. Sewer - Capex Input'!$I24=D$3,'19. Sewer - Capex Input'!$J24,0)</f>
        <v>0</v>
      </c>
      <c r="E541" s="30">
        <f>IF('19. Sewer - Capex Input'!$I24=E$3,'19. Sewer - Capex Input'!$J24,0)</f>
        <v>0</v>
      </c>
      <c r="F541" s="30">
        <f>IF('19. Sewer - Capex Input'!$I24=F$3,'19. Sewer - Capex Input'!$J24,0)</f>
        <v>0</v>
      </c>
      <c r="G541" s="30">
        <f>IF('19. Sewer - Capex Input'!$I24=G$3,'19. Sewer - Capex Input'!$J24,0)</f>
        <v>0</v>
      </c>
      <c r="H541" s="30">
        <f>IF('19. Sewer - Capex Input'!$I24=H$3,'19. Sewer - Capex Input'!$J24,0)</f>
        <v>4135333</v>
      </c>
    </row>
    <row r="542" spans="2:8">
      <c r="B542" s="152">
        <f t="shared" si="24"/>
        <v>0</v>
      </c>
      <c r="D542" s="30">
        <f>IF('19. Sewer - Capex Input'!$I25=D$3,'19. Sewer - Capex Input'!$J25,0)</f>
        <v>0</v>
      </c>
      <c r="E542" s="30">
        <f>IF('19. Sewer - Capex Input'!$I25=E$3,'19. Sewer - Capex Input'!$J25,0)</f>
        <v>4300000</v>
      </c>
      <c r="F542" s="30">
        <f>IF('19. Sewer - Capex Input'!$I25=F$3,'19. Sewer - Capex Input'!$J25,0)</f>
        <v>0</v>
      </c>
      <c r="G542" s="30">
        <f>IF('19. Sewer - Capex Input'!$I25=G$3,'19. Sewer - Capex Input'!$J25,0)</f>
        <v>0</v>
      </c>
      <c r="H542" s="30">
        <f>IF('19. Sewer - Capex Input'!$I25=H$3,'19. Sewer - Capex Input'!$J25,0)</f>
        <v>0</v>
      </c>
    </row>
    <row r="543" spans="2:8">
      <c r="B543" s="152">
        <f t="shared" si="24"/>
        <v>0</v>
      </c>
      <c r="D543" s="30">
        <f>IF('19. Sewer - Capex Input'!$I26=D$3,'19. Sewer - Capex Input'!$J26,0)</f>
        <v>0</v>
      </c>
      <c r="E543" s="30">
        <f>IF('19. Sewer - Capex Input'!$I26=E$3,'19. Sewer - Capex Input'!$J26,0)</f>
        <v>0</v>
      </c>
      <c r="F543" s="30">
        <f>IF('19. Sewer - Capex Input'!$I26=F$3,'19. Sewer - Capex Input'!$J26,0)</f>
        <v>18200000</v>
      </c>
      <c r="G543" s="30">
        <f>IF('19. Sewer - Capex Input'!$I26=G$3,'19. Sewer - Capex Input'!$J26,0)</f>
        <v>0</v>
      </c>
      <c r="H543" s="30">
        <f>IF('19. Sewer - Capex Input'!$I26=H$3,'19. Sewer - Capex Input'!$J26,0)</f>
        <v>0</v>
      </c>
    </row>
    <row r="544" spans="2:8">
      <c r="B544" s="152">
        <f t="shared" si="24"/>
        <v>0</v>
      </c>
      <c r="D544" s="30">
        <f>IF('19. Sewer - Capex Input'!$I27=D$3,'19. Sewer - Capex Input'!$J27,0)</f>
        <v>0</v>
      </c>
      <c r="E544" s="30">
        <f>IF('19. Sewer - Capex Input'!$I27=E$3,'19. Sewer - Capex Input'!$J27,0)</f>
        <v>0</v>
      </c>
      <c r="F544" s="30">
        <f>IF('19. Sewer - Capex Input'!$I27=F$3,'19. Sewer - Capex Input'!$J27,0)</f>
        <v>540126</v>
      </c>
      <c r="G544" s="30">
        <f>IF('19. Sewer - Capex Input'!$I27=G$3,'19. Sewer - Capex Input'!$J27,0)</f>
        <v>0</v>
      </c>
      <c r="H544" s="30">
        <f>IF('19. Sewer - Capex Input'!$I27=H$3,'19. Sewer - Capex Input'!$J27,0)</f>
        <v>0</v>
      </c>
    </row>
    <row r="545" spans="2:8">
      <c r="B545" s="152">
        <f t="shared" si="24"/>
        <v>0</v>
      </c>
      <c r="D545" s="30">
        <f>IF('19. Sewer - Capex Input'!$I28=D$3,'19. Sewer - Capex Input'!$J28,0)</f>
        <v>0</v>
      </c>
      <c r="E545" s="30">
        <f>IF('19. Sewer - Capex Input'!$I28=E$3,'19. Sewer - Capex Input'!$J28,0)</f>
        <v>0</v>
      </c>
      <c r="F545" s="30">
        <f>IF('19. Sewer - Capex Input'!$I28=F$3,'19. Sewer - Capex Input'!$J28,0)</f>
        <v>0</v>
      </c>
      <c r="G545" s="30">
        <f>IF('19. Sewer - Capex Input'!$I28=G$3,'19. Sewer - Capex Input'!$J28,0)</f>
        <v>7792359</v>
      </c>
      <c r="H545" s="30">
        <f>IF('19. Sewer - Capex Input'!$I28=H$3,'19. Sewer - Capex Input'!$J28,0)</f>
        <v>0</v>
      </c>
    </row>
    <row r="546" spans="2:8">
      <c r="B546" s="152">
        <f t="shared" si="24"/>
        <v>0</v>
      </c>
      <c r="D546" s="30">
        <f>IF('19. Sewer - Capex Input'!$I29=D$3,'19. Sewer - Capex Input'!$J29,0)</f>
        <v>0</v>
      </c>
      <c r="E546" s="30">
        <f>IF('19. Sewer - Capex Input'!$I29=E$3,'19. Sewer - Capex Input'!$J29,0)</f>
        <v>0</v>
      </c>
      <c r="F546" s="30">
        <f>IF('19. Sewer - Capex Input'!$I29=F$3,'19. Sewer - Capex Input'!$J29,0)</f>
        <v>0</v>
      </c>
      <c r="G546" s="30">
        <f>IF('19. Sewer - Capex Input'!$I29=G$3,'19. Sewer - Capex Input'!$J29,0)</f>
        <v>0</v>
      </c>
      <c r="H546" s="30">
        <f>IF('19. Sewer - Capex Input'!$I29=H$3,'19. Sewer - Capex Input'!$J29,0)</f>
        <v>11430071</v>
      </c>
    </row>
    <row r="547" spans="2:8">
      <c r="B547" s="152">
        <f t="shared" si="24"/>
        <v>0</v>
      </c>
      <c r="D547" s="30">
        <f>IF('19. Sewer - Capex Input'!$I30=D$3,'19. Sewer - Capex Input'!$J30,0)</f>
        <v>0</v>
      </c>
      <c r="E547" s="30">
        <f>IF('19. Sewer - Capex Input'!$I30=E$3,'19. Sewer - Capex Input'!$J30,0)</f>
        <v>0</v>
      </c>
      <c r="F547" s="30">
        <f>IF('19. Sewer - Capex Input'!$I30=F$3,'19. Sewer - Capex Input'!$J30,0)</f>
        <v>1043694</v>
      </c>
      <c r="G547" s="30">
        <f>IF('19. Sewer - Capex Input'!$I30=G$3,'19. Sewer - Capex Input'!$J30,0)</f>
        <v>0</v>
      </c>
      <c r="H547" s="30">
        <f>IF('19. Sewer - Capex Input'!$I30=H$3,'19. Sewer - Capex Input'!$J30,0)</f>
        <v>0</v>
      </c>
    </row>
    <row r="548" spans="2:8">
      <c r="B548" s="152">
        <f t="shared" si="24"/>
        <v>0</v>
      </c>
      <c r="D548" s="30">
        <f>IF('19. Sewer - Capex Input'!$I31=D$3,'19. Sewer - Capex Input'!$J31,0)</f>
        <v>0</v>
      </c>
      <c r="E548" s="30">
        <f>IF('19. Sewer - Capex Input'!$I31=E$3,'19. Sewer - Capex Input'!$J31,0)</f>
        <v>0</v>
      </c>
      <c r="F548" s="30">
        <f>IF('19. Sewer - Capex Input'!$I31=F$3,'19. Sewer - Capex Input'!$J31,0)</f>
        <v>0</v>
      </c>
      <c r="G548" s="30">
        <f>IF('19. Sewer - Capex Input'!$I31=G$3,'19. Sewer - Capex Input'!$J31,0)</f>
        <v>5354284</v>
      </c>
      <c r="H548" s="30">
        <f>IF('19. Sewer - Capex Input'!$I31=H$3,'19. Sewer - Capex Input'!$J31,0)</f>
        <v>0</v>
      </c>
    </row>
    <row r="549" spans="2:8">
      <c r="B549" s="152">
        <f t="shared" si="24"/>
        <v>0</v>
      </c>
      <c r="D549" s="30">
        <f>IF('19. Sewer - Capex Input'!$I32=D$3,'19. Sewer - Capex Input'!$J32,0)</f>
        <v>0</v>
      </c>
      <c r="E549" s="30">
        <f>IF('19. Sewer - Capex Input'!$I32=E$3,'19. Sewer - Capex Input'!$J32,0)</f>
        <v>0</v>
      </c>
      <c r="F549" s="30">
        <f>IF('19. Sewer - Capex Input'!$I32=F$3,'19. Sewer - Capex Input'!$J32,0)</f>
        <v>0</v>
      </c>
      <c r="G549" s="30">
        <f>IF('19. Sewer - Capex Input'!$I32=G$3,'19. Sewer - Capex Input'!$J32,0)</f>
        <v>0</v>
      </c>
      <c r="H549" s="30">
        <f>IF('19. Sewer - Capex Input'!$I32=H$3,'19. Sewer - Capex Input'!$J32,0)</f>
        <v>10802524</v>
      </c>
    </row>
    <row r="550" spans="2:8">
      <c r="B550" s="152">
        <f t="shared" si="24"/>
        <v>0</v>
      </c>
      <c r="D550" s="30">
        <f>IF('19. Sewer - Capex Input'!$I33=D$3,'19. Sewer - Capex Input'!$J33,0)</f>
        <v>0</v>
      </c>
      <c r="E550" s="30">
        <f>IF('19. Sewer - Capex Input'!$I33=E$3,'19. Sewer - Capex Input'!$J33,0)</f>
        <v>0</v>
      </c>
      <c r="F550" s="30">
        <f>IF('19. Sewer - Capex Input'!$I33=F$3,'19. Sewer - Capex Input'!$J33,0)</f>
        <v>2087387.4484227216</v>
      </c>
      <c r="G550" s="30">
        <f>IF('19. Sewer - Capex Input'!$I33=G$3,'19. Sewer - Capex Input'!$J33,0)</f>
        <v>0</v>
      </c>
      <c r="H550" s="30">
        <f>IF('19. Sewer - Capex Input'!$I33=H$3,'19. Sewer - Capex Input'!$J33,0)</f>
        <v>0</v>
      </c>
    </row>
    <row r="551" spans="2:8">
      <c r="B551" s="152">
        <f t="shared" si="24"/>
        <v>0</v>
      </c>
      <c r="D551" s="30">
        <f>IF('19. Sewer - Capex Input'!$I34=D$3,'19. Sewer - Capex Input'!$J34,0)</f>
        <v>0</v>
      </c>
      <c r="E551" s="30">
        <f>IF('19. Sewer - Capex Input'!$I34=E$3,'19. Sewer - Capex Input'!$J34,0)</f>
        <v>0</v>
      </c>
      <c r="F551" s="30">
        <f>IF('19. Sewer - Capex Input'!$I34=F$3,'19. Sewer - Capex Input'!$J34,0)</f>
        <v>0</v>
      </c>
      <c r="G551" s="30">
        <f>IF('19. Sewer - Capex Input'!$I34=G$3,'19. Sewer - Capex Input'!$J34,0)</f>
        <v>5354283.6755518988</v>
      </c>
      <c r="H551" s="30">
        <f>IF('19. Sewer - Capex Input'!$I34=H$3,'19. Sewer - Capex Input'!$J34,0)</f>
        <v>0</v>
      </c>
    </row>
    <row r="552" spans="2:8">
      <c r="B552" s="152">
        <f t="shared" si="24"/>
        <v>0</v>
      </c>
      <c r="D552" s="30">
        <f>IF('19. Sewer - Capex Input'!$I35=D$3,'19. Sewer - Capex Input'!$J35,0)</f>
        <v>0</v>
      </c>
      <c r="E552" s="30">
        <f>IF('19. Sewer - Capex Input'!$I35=E$3,'19. Sewer - Capex Input'!$J35,0)</f>
        <v>0</v>
      </c>
      <c r="F552" s="30">
        <f>IF('19. Sewer - Capex Input'!$I35=F$3,'19. Sewer - Capex Input'!$J35,0)</f>
        <v>0</v>
      </c>
      <c r="G552" s="30">
        <f>IF('19. Sewer - Capex Input'!$I35=G$3,'19. Sewer - Capex Input'!$J35,0)</f>
        <v>0</v>
      </c>
      <c r="H552" s="30">
        <f>IF('19. Sewer - Capex Input'!$I35=H$3,'19. Sewer - Capex Input'!$J35,0)</f>
        <v>9678179.62131216</v>
      </c>
    </row>
    <row r="553" spans="2:8">
      <c r="B553" s="152">
        <f t="shared" si="24"/>
        <v>0</v>
      </c>
      <c r="D553" s="30">
        <f>IF('19. Sewer - Capex Input'!$I36=D$3,'19. Sewer - Capex Input'!$J36,0)</f>
        <v>0</v>
      </c>
      <c r="E553" s="30">
        <f>IF('19. Sewer - Capex Input'!$I36=E$3,'19. Sewer - Capex Input'!$J36,0)</f>
        <v>0</v>
      </c>
      <c r="F553" s="30">
        <f>IF('19. Sewer - Capex Input'!$I36=F$3,'19. Sewer - Capex Input'!$J36,0)</f>
        <v>1080252</v>
      </c>
      <c r="G553" s="30">
        <f>IF('19. Sewer - Capex Input'!$I36=G$3,'19. Sewer - Capex Input'!$J36,0)</f>
        <v>0</v>
      </c>
      <c r="H553" s="30">
        <f>IF('19. Sewer - Capex Input'!$I36=H$3,'19. Sewer - Capex Input'!$J36,0)</f>
        <v>0</v>
      </c>
    </row>
    <row r="554" spans="2:8">
      <c r="B554" s="152">
        <f t="shared" si="24"/>
        <v>0</v>
      </c>
      <c r="D554" s="30">
        <f>IF('19. Sewer - Capex Input'!$I37=D$3,'19. Sewer - Capex Input'!$J37,0)</f>
        <v>0</v>
      </c>
      <c r="E554" s="30">
        <f>IF('19. Sewer - Capex Input'!$I37=E$3,'19. Sewer - Capex Input'!$J37,0)</f>
        <v>0</v>
      </c>
      <c r="F554" s="30">
        <f>IF('19. Sewer - Capex Input'!$I37=F$3,'19. Sewer - Capex Input'!$J37,0)</f>
        <v>0</v>
      </c>
      <c r="G554" s="30">
        <f>IF('19. Sewer - Capex Input'!$I37=G$3,'19. Sewer - Capex Input'!$J37,0)</f>
        <v>7774495</v>
      </c>
      <c r="H554" s="30">
        <f>IF('19. Sewer - Capex Input'!$I37=H$3,'19. Sewer - Capex Input'!$J37,0)</f>
        <v>0</v>
      </c>
    </row>
    <row r="555" spans="2:8">
      <c r="B555" s="152">
        <f t="shared" si="24"/>
        <v>0</v>
      </c>
      <c r="D555" s="30">
        <f>IF('19. Sewer - Capex Input'!$I38=D$3,'19. Sewer - Capex Input'!$J38,0)</f>
        <v>0</v>
      </c>
      <c r="E555" s="30">
        <f>IF('19. Sewer - Capex Input'!$I38=E$3,'19. Sewer - Capex Input'!$J38,0)</f>
        <v>0</v>
      </c>
      <c r="F555" s="30">
        <f>IF('19. Sewer - Capex Input'!$I38=F$3,'19. Sewer - Capex Input'!$J38,0)</f>
        <v>0</v>
      </c>
      <c r="G555" s="30">
        <f>IF('19. Sewer - Capex Input'!$I38=G$3,'19. Sewer - Capex Input'!$J38,0)</f>
        <v>0</v>
      </c>
      <c r="H555" s="30">
        <f>IF('19. Sewer - Capex Input'!$I38=H$3,'19. Sewer - Capex Input'!$J38,0)</f>
        <v>4695187</v>
      </c>
    </row>
    <row r="556" spans="2:8">
      <c r="B556" s="152">
        <f t="shared" si="24"/>
        <v>0</v>
      </c>
      <c r="D556" s="30">
        <f>IF('19. Sewer - Capex Input'!$I39=D$3,'19. Sewer - Capex Input'!$J39,0)</f>
        <v>0</v>
      </c>
      <c r="E556" s="30">
        <f>IF('19. Sewer - Capex Input'!$I39=E$3,'19. Sewer - Capex Input'!$J39,0)</f>
        <v>0</v>
      </c>
      <c r="F556" s="30">
        <f>IF('19. Sewer - Capex Input'!$I39=F$3,'19. Sewer - Capex Input'!$J39,0)</f>
        <v>756177</v>
      </c>
      <c r="G556" s="30">
        <f>IF('19. Sewer - Capex Input'!$I39=G$3,'19. Sewer - Capex Input'!$J39,0)</f>
        <v>0</v>
      </c>
      <c r="H556" s="30">
        <f>IF('19. Sewer - Capex Input'!$I39=H$3,'19. Sewer - Capex Input'!$J39,0)</f>
        <v>0</v>
      </c>
    </row>
    <row r="557" spans="2:8">
      <c r="B557" s="152">
        <f t="shared" si="24"/>
        <v>0</v>
      </c>
      <c r="D557" s="30">
        <f>IF('19. Sewer - Capex Input'!$I40=D$3,'19. Sewer - Capex Input'!$J40,0)</f>
        <v>0</v>
      </c>
      <c r="E557" s="30">
        <f>IF('19. Sewer - Capex Input'!$I40=E$3,'19. Sewer - Capex Input'!$J40,0)</f>
        <v>0</v>
      </c>
      <c r="F557" s="30">
        <f>IF('19. Sewer - Capex Input'!$I40=F$3,'19. Sewer - Capex Input'!$J40,0)</f>
        <v>0</v>
      </c>
      <c r="G557" s="30">
        <f>IF('19. Sewer - Capex Input'!$I40=G$3,'19. Sewer - Capex Input'!$J40,0)</f>
        <v>5745563</v>
      </c>
      <c r="H557" s="30">
        <f>IF('19. Sewer - Capex Input'!$I40=H$3,'19. Sewer - Capex Input'!$J40,0)</f>
        <v>0</v>
      </c>
    </row>
    <row r="558" spans="2:8">
      <c r="B558" s="152">
        <f t="shared" si="24"/>
        <v>0</v>
      </c>
      <c r="D558" s="30">
        <f>IF('19. Sewer - Capex Input'!$I41=D$3,'19. Sewer - Capex Input'!$J41,0)</f>
        <v>0</v>
      </c>
      <c r="E558" s="30">
        <f>IF('19. Sewer - Capex Input'!$I41=E$3,'19. Sewer - Capex Input'!$J41,0)</f>
        <v>0</v>
      </c>
      <c r="F558" s="30">
        <f>IF('19. Sewer - Capex Input'!$I41=F$3,'19. Sewer - Capex Input'!$J41,0)</f>
        <v>0</v>
      </c>
      <c r="G558" s="30">
        <f>IF('19. Sewer - Capex Input'!$I41=G$3,'19. Sewer - Capex Input'!$J41,0)</f>
        <v>0</v>
      </c>
      <c r="H558" s="30">
        <f>IF('19. Sewer - Capex Input'!$I41=H$3,'19. Sewer - Capex Input'!$J41,0)</f>
        <v>4918893</v>
      </c>
    </row>
    <row r="559" spans="2:8">
      <c r="B559" s="152">
        <f t="shared" si="24"/>
        <v>0</v>
      </c>
      <c r="D559" s="30">
        <f>IF('19. Sewer - Capex Input'!$I42=D$3,'19. Sewer - Capex Input'!$J42,0)</f>
        <v>0</v>
      </c>
      <c r="E559" s="30">
        <f>IF('19. Sewer - Capex Input'!$I42=E$3,'19. Sewer - Capex Input'!$J42,0)</f>
        <v>947069</v>
      </c>
      <c r="F559" s="30">
        <f>IF('19. Sewer - Capex Input'!$I42=F$3,'19. Sewer - Capex Input'!$J42,0)</f>
        <v>0</v>
      </c>
      <c r="G559" s="30">
        <f>IF('19. Sewer - Capex Input'!$I42=G$3,'19. Sewer - Capex Input'!$J42,0)</f>
        <v>0</v>
      </c>
      <c r="H559" s="30">
        <f>IF('19. Sewer - Capex Input'!$I42=H$3,'19. Sewer - Capex Input'!$J42,0)</f>
        <v>0</v>
      </c>
    </row>
    <row r="560" spans="2:8">
      <c r="B560" s="152">
        <f t="shared" si="24"/>
        <v>0</v>
      </c>
      <c r="D560" s="30">
        <f>IF('19. Sewer - Capex Input'!$I43=D$3,'19. Sewer - Capex Input'!$J43,0)</f>
        <v>0</v>
      </c>
      <c r="E560" s="30">
        <f>IF('19. Sewer - Capex Input'!$I43=E$3,'19. Sewer - Capex Input'!$J43,0)</f>
        <v>0</v>
      </c>
      <c r="F560" s="30">
        <f>IF('19. Sewer - Capex Input'!$I43=F$3,'19. Sewer - Capex Input'!$J43,0)</f>
        <v>1476453</v>
      </c>
      <c r="G560" s="30">
        <f>IF('19. Sewer - Capex Input'!$I43=G$3,'19. Sewer - Capex Input'!$J43,0)</f>
        <v>0</v>
      </c>
      <c r="H560" s="30">
        <f>IF('19. Sewer - Capex Input'!$I43=H$3,'19. Sewer - Capex Input'!$J43,0)</f>
        <v>0</v>
      </c>
    </row>
    <row r="561" spans="2:8">
      <c r="B561" s="152">
        <f t="shared" si="24"/>
        <v>0</v>
      </c>
      <c r="D561" s="30">
        <f>IF('19. Sewer - Capex Input'!$I44=D$3,'19. Sewer - Capex Input'!$J44,0)</f>
        <v>0</v>
      </c>
      <c r="E561" s="30">
        <f>IF('19. Sewer - Capex Input'!$I44=E$3,'19. Sewer - Capex Input'!$J44,0)</f>
        <v>0</v>
      </c>
      <c r="F561" s="30">
        <f>IF('19. Sewer - Capex Input'!$I44=F$3,'19. Sewer - Capex Input'!$J44,0)</f>
        <v>0</v>
      </c>
      <c r="G561" s="30">
        <f>IF('19. Sewer - Capex Input'!$I44=G$3,'19. Sewer - Capex Input'!$J44,0)</f>
        <v>1528844</v>
      </c>
      <c r="H561" s="30">
        <f>IF('19. Sewer - Capex Input'!$I44=H$3,'19. Sewer - Capex Input'!$J44,0)</f>
        <v>0</v>
      </c>
    </row>
    <row r="562" spans="2:8">
      <c r="B562" s="152">
        <f t="shared" si="24"/>
        <v>0</v>
      </c>
      <c r="D562" s="30">
        <f>IF('19. Sewer - Capex Input'!$I45=D$3,'19. Sewer - Capex Input'!$J45,0)</f>
        <v>0</v>
      </c>
      <c r="E562" s="30">
        <f>IF('19. Sewer - Capex Input'!$I45=E$3,'19. Sewer - Capex Input'!$J45,0)</f>
        <v>0</v>
      </c>
      <c r="F562" s="30">
        <f>IF('19. Sewer - Capex Input'!$I45=F$3,'19. Sewer - Capex Input'!$J45,0)</f>
        <v>0</v>
      </c>
      <c r="G562" s="30">
        <f>IF('19. Sewer - Capex Input'!$I45=G$3,'19. Sewer - Capex Input'!$J45,0)</f>
        <v>0</v>
      </c>
      <c r="H562" s="30">
        <f>IF('19. Sewer - Capex Input'!$I45=H$3,'19. Sewer - Capex Input'!$J45,0)</f>
        <v>1143007</v>
      </c>
    </row>
    <row r="563" spans="2:8">
      <c r="B563" s="152">
        <f t="shared" si="24"/>
        <v>0</v>
      </c>
      <c r="D563" s="30">
        <f>IF('19. Sewer - Capex Input'!$I46=D$3,'19. Sewer - Capex Input'!$J46,0)</f>
        <v>0</v>
      </c>
      <c r="E563" s="30">
        <f>IF('19. Sewer - Capex Input'!$I46=E$3,'19. Sewer - Capex Input'!$J46,0)</f>
        <v>0</v>
      </c>
      <c r="F563" s="30">
        <f>IF('19. Sewer - Capex Input'!$I46=F$3,'19. Sewer - Capex Input'!$J46,0)</f>
        <v>529324</v>
      </c>
      <c r="G563" s="30">
        <f>IF('19. Sewer - Capex Input'!$I46=G$3,'19. Sewer - Capex Input'!$J46,0)</f>
        <v>0</v>
      </c>
      <c r="H563" s="30">
        <f>IF('19. Sewer - Capex Input'!$I46=H$3,'19. Sewer - Capex Input'!$J46,0)</f>
        <v>0</v>
      </c>
    </row>
    <row r="564" spans="2:8">
      <c r="B564" s="152">
        <f t="shared" si="24"/>
        <v>0</v>
      </c>
      <c r="D564" s="30">
        <f>IF('19. Sewer - Capex Input'!$I47=D$3,'19. Sewer - Capex Input'!$J47,0)</f>
        <v>0</v>
      </c>
      <c r="E564" s="30">
        <f>IF('19. Sewer - Capex Input'!$I47=E$3,'19. Sewer - Capex Input'!$J47,0)</f>
        <v>0</v>
      </c>
      <c r="F564" s="30">
        <f>IF('19. Sewer - Capex Input'!$I47=F$3,'19. Sewer - Capex Input'!$J47,0)</f>
        <v>0</v>
      </c>
      <c r="G564" s="30">
        <f>IF('19. Sewer - Capex Input'!$I47=G$3,'19. Sewer - Capex Input'!$J47,0)</f>
        <v>4164908</v>
      </c>
      <c r="H564" s="30">
        <f>IF('19. Sewer - Capex Input'!$I47=H$3,'19. Sewer - Capex Input'!$J47,0)</f>
        <v>0</v>
      </c>
    </row>
    <row r="565" spans="2:8">
      <c r="B565" s="152">
        <f t="shared" si="24"/>
        <v>0</v>
      </c>
      <c r="D565" s="30">
        <f>IF('19. Sewer - Capex Input'!$I48=D$3,'19. Sewer - Capex Input'!$J48,0)</f>
        <v>3158587.93</v>
      </c>
      <c r="E565" s="30">
        <f>IF('19. Sewer - Capex Input'!$I48=E$3,'19. Sewer - Capex Input'!$J48,0)</f>
        <v>0</v>
      </c>
      <c r="F565" s="30">
        <f>IF('19. Sewer - Capex Input'!$I48=F$3,'19. Sewer - Capex Input'!$J48,0)</f>
        <v>0</v>
      </c>
      <c r="G565" s="30">
        <f>IF('19. Sewer - Capex Input'!$I48=G$3,'19. Sewer - Capex Input'!$J48,0)</f>
        <v>0</v>
      </c>
      <c r="H565" s="30">
        <f>IF('19. Sewer - Capex Input'!$I48=H$3,'19. Sewer - Capex Input'!$J48,0)</f>
        <v>0</v>
      </c>
    </row>
    <row r="566" spans="2:8">
      <c r="B566" s="152">
        <f t="shared" si="24"/>
        <v>0</v>
      </c>
      <c r="D566" s="30">
        <f>IF('19. Sewer - Capex Input'!$I49=D$3,'19. Sewer - Capex Input'!$J49,0)</f>
        <v>0</v>
      </c>
      <c r="E566" s="30">
        <f>IF('19. Sewer - Capex Input'!$I49=E$3,'19. Sewer - Capex Input'!$J49,0)</f>
        <v>961257.66999999993</v>
      </c>
      <c r="F566" s="30">
        <f>IF('19. Sewer - Capex Input'!$I49=F$3,'19. Sewer - Capex Input'!$J49,0)</f>
        <v>0</v>
      </c>
      <c r="G566" s="30">
        <f>IF('19. Sewer - Capex Input'!$I49=G$3,'19. Sewer - Capex Input'!$J49,0)</f>
        <v>0</v>
      </c>
      <c r="H566" s="30">
        <f>IF('19. Sewer - Capex Input'!$I49=H$3,'19. Sewer - Capex Input'!$J49,0)</f>
        <v>0</v>
      </c>
    </row>
    <row r="567" spans="2:8">
      <c r="B567" s="152">
        <f t="shared" si="24"/>
        <v>0</v>
      </c>
      <c r="D567" s="30">
        <f>IF('19. Sewer - Capex Input'!$I50=D$3,'19. Sewer - Capex Input'!$J50,0)</f>
        <v>1635452.1899999997</v>
      </c>
      <c r="E567" s="30">
        <f>IF('19. Sewer - Capex Input'!$I50=E$3,'19. Sewer - Capex Input'!$J50,0)</f>
        <v>0</v>
      </c>
      <c r="F567" s="30">
        <f>IF('19. Sewer - Capex Input'!$I50=F$3,'19. Sewer - Capex Input'!$J50,0)</f>
        <v>0</v>
      </c>
      <c r="G567" s="30">
        <f>IF('19. Sewer - Capex Input'!$I50=G$3,'19. Sewer - Capex Input'!$J50,0)</f>
        <v>0</v>
      </c>
      <c r="H567" s="30">
        <f>IF('19. Sewer - Capex Input'!$I50=H$3,'19. Sewer - Capex Input'!$J50,0)</f>
        <v>0</v>
      </c>
    </row>
    <row r="568" spans="2:8">
      <c r="B568" s="152">
        <f t="shared" si="24"/>
        <v>0</v>
      </c>
      <c r="D568" s="30">
        <f>IF('19. Sewer - Capex Input'!$I51=D$3,'19. Sewer - Capex Input'!$J51,0)</f>
        <v>0</v>
      </c>
      <c r="E568" s="30">
        <f>IF('19. Sewer - Capex Input'!$I51=E$3,'19. Sewer - Capex Input'!$J51,0)</f>
        <v>2077262.39</v>
      </c>
      <c r="F568" s="30">
        <f>IF('19. Sewer - Capex Input'!$I51=F$3,'19. Sewer - Capex Input'!$J51,0)</f>
        <v>0</v>
      </c>
      <c r="G568" s="30">
        <f>IF('19. Sewer - Capex Input'!$I51=G$3,'19. Sewer - Capex Input'!$J51,0)</f>
        <v>0</v>
      </c>
      <c r="H568" s="30">
        <f>IF('19. Sewer - Capex Input'!$I51=H$3,'19. Sewer - Capex Input'!$J51,0)</f>
        <v>0</v>
      </c>
    </row>
    <row r="569" spans="2:8">
      <c r="B569" s="152">
        <f t="shared" si="24"/>
        <v>0</v>
      </c>
      <c r="D569" s="30">
        <f>IF('19. Sewer - Capex Input'!$I52=D$3,'19. Sewer - Capex Input'!$J52,0)</f>
        <v>0</v>
      </c>
      <c r="E569" s="30">
        <f>IF('19. Sewer - Capex Input'!$I52=E$3,'19. Sewer - Capex Input'!$J52,0)</f>
        <v>0</v>
      </c>
      <c r="F569" s="30">
        <f>IF('19. Sewer - Capex Input'!$I52=F$3,'19. Sewer - Capex Input'!$J52,0)</f>
        <v>100900</v>
      </c>
      <c r="G569" s="30">
        <f>IF('19. Sewer - Capex Input'!$I52=G$3,'19. Sewer - Capex Input'!$J52,0)</f>
        <v>0</v>
      </c>
      <c r="H569" s="30">
        <f>IF('19. Sewer - Capex Input'!$I52=H$3,'19. Sewer - Capex Input'!$J52,0)</f>
        <v>0</v>
      </c>
    </row>
    <row r="570" spans="2:8">
      <c r="B570" s="152">
        <f t="shared" si="24"/>
        <v>0</v>
      </c>
      <c r="D570" s="30">
        <f>IF('19. Sewer - Capex Input'!$I53=D$3,'19. Sewer - Capex Input'!$J53,0)</f>
        <v>1595289.3000000003</v>
      </c>
      <c r="E570" s="30">
        <f>IF('19. Sewer - Capex Input'!$I53=E$3,'19. Sewer - Capex Input'!$J53,0)</f>
        <v>0</v>
      </c>
      <c r="F570" s="30">
        <f>IF('19. Sewer - Capex Input'!$I53=F$3,'19. Sewer - Capex Input'!$J53,0)</f>
        <v>0</v>
      </c>
      <c r="G570" s="30">
        <f>IF('19. Sewer - Capex Input'!$I53=G$3,'19. Sewer - Capex Input'!$J53,0)</f>
        <v>0</v>
      </c>
      <c r="H570" s="30">
        <f>IF('19. Sewer - Capex Input'!$I53=H$3,'19. Sewer - Capex Input'!$J53,0)</f>
        <v>0</v>
      </c>
    </row>
    <row r="571" spans="2:8">
      <c r="B571" s="152">
        <f t="shared" si="24"/>
        <v>0</v>
      </c>
      <c r="D571" s="30">
        <f>IF('19. Sewer - Capex Input'!$I54=D$3,'19. Sewer - Capex Input'!$J54,0)</f>
        <v>0</v>
      </c>
      <c r="E571" s="30">
        <f>IF('19. Sewer - Capex Input'!$I54=E$3,'19. Sewer - Capex Input'!$J54,0)</f>
        <v>2152966.29</v>
      </c>
      <c r="F571" s="30">
        <f>IF('19. Sewer - Capex Input'!$I54=F$3,'19. Sewer - Capex Input'!$J54,0)</f>
        <v>0</v>
      </c>
      <c r="G571" s="30">
        <f>IF('19. Sewer - Capex Input'!$I54=G$3,'19. Sewer - Capex Input'!$J54,0)</f>
        <v>0</v>
      </c>
      <c r="H571" s="30">
        <f>IF('19. Sewer - Capex Input'!$I54=H$3,'19. Sewer - Capex Input'!$J54,0)</f>
        <v>0</v>
      </c>
    </row>
    <row r="572" spans="2:8">
      <c r="B572" s="152">
        <f t="shared" si="24"/>
        <v>0</v>
      </c>
      <c r="D572" s="30">
        <f>IF('19. Sewer - Capex Input'!$I55=D$3,'19. Sewer - Capex Input'!$J55,0)</f>
        <v>0</v>
      </c>
      <c r="E572" s="30">
        <f>IF('19. Sewer - Capex Input'!$I55=E$3,'19. Sewer - Capex Input'!$J55,0)</f>
        <v>0</v>
      </c>
      <c r="F572" s="30">
        <f>IF('19. Sewer - Capex Input'!$I55=F$3,'19. Sewer - Capex Input'!$J55,0)</f>
        <v>540126</v>
      </c>
      <c r="G572" s="30">
        <f>IF('19. Sewer - Capex Input'!$I55=G$3,'19. Sewer - Capex Input'!$J55,0)</f>
        <v>0</v>
      </c>
      <c r="H572" s="30">
        <f>IF('19. Sewer - Capex Input'!$I55=H$3,'19. Sewer - Capex Input'!$J55,0)</f>
        <v>0</v>
      </c>
    </row>
    <row r="573" spans="2:8">
      <c r="B573" s="152">
        <f t="shared" si="24"/>
        <v>0</v>
      </c>
      <c r="D573" s="30">
        <f>IF('19. Sewer - Capex Input'!$I56=D$3,'19. Sewer - Capex Input'!$J56,0)</f>
        <v>0</v>
      </c>
      <c r="E573" s="30">
        <f>IF('19. Sewer - Capex Input'!$I56=E$3,'19. Sewer - Capex Input'!$J56,0)</f>
        <v>0</v>
      </c>
      <c r="F573" s="30">
        <f>IF('19. Sewer - Capex Input'!$I56=F$3,'19. Sewer - Capex Input'!$J56,0)</f>
        <v>0</v>
      </c>
      <c r="G573" s="30">
        <f>IF('19. Sewer - Capex Input'!$I56=G$3,'19. Sewer - Capex Input'!$J56,0)</f>
        <v>1582665</v>
      </c>
      <c r="H573" s="30">
        <f>IF('19. Sewer - Capex Input'!$I56=H$3,'19. Sewer - Capex Input'!$J56,0)</f>
        <v>0</v>
      </c>
    </row>
    <row r="574" spans="2:8">
      <c r="B574" s="152">
        <f t="shared" si="24"/>
        <v>0</v>
      </c>
      <c r="D574" s="30">
        <f>IF('19. Sewer - Capex Input'!$I57=D$3,'19. Sewer - Capex Input'!$J57,0)</f>
        <v>0</v>
      </c>
      <c r="E574" s="30">
        <f>IF('19. Sewer - Capex Input'!$I57=E$3,'19. Sewer - Capex Input'!$J57,0)</f>
        <v>0</v>
      </c>
      <c r="F574" s="30">
        <f>IF('19. Sewer - Capex Input'!$I57=F$3,'19. Sewer - Capex Input'!$J57,0)</f>
        <v>0</v>
      </c>
      <c r="G574" s="30">
        <f>IF('19. Sewer - Capex Input'!$I57=G$3,'19. Sewer - Capex Input'!$J57,0)</f>
        <v>0</v>
      </c>
      <c r="H574" s="30">
        <f>IF('19. Sewer - Capex Input'!$I57=H$3,'19. Sewer - Capex Input'!$J57,0)</f>
        <v>1143007</v>
      </c>
    </row>
    <row r="575" spans="2:8">
      <c r="B575" s="152">
        <f t="shared" si="24"/>
        <v>0</v>
      </c>
      <c r="D575" s="30">
        <f>IF('19. Sewer - Capex Input'!$I58=D$3,'19. Sewer - Capex Input'!$J58,0)</f>
        <v>177487.07</v>
      </c>
      <c r="E575" s="30">
        <f>IF('19. Sewer - Capex Input'!$I58=E$3,'19. Sewer - Capex Input'!$J58,0)</f>
        <v>0</v>
      </c>
      <c r="F575" s="30">
        <f>IF('19. Sewer - Capex Input'!$I58=F$3,'19. Sewer - Capex Input'!$J58,0)</f>
        <v>0</v>
      </c>
      <c r="G575" s="30">
        <f>IF('19. Sewer - Capex Input'!$I58=G$3,'19. Sewer - Capex Input'!$J58,0)</f>
        <v>0</v>
      </c>
      <c r="H575" s="30">
        <f>IF('19. Sewer - Capex Input'!$I58=H$3,'19. Sewer - Capex Input'!$J58,0)</f>
        <v>0</v>
      </c>
    </row>
    <row r="576" spans="2:8">
      <c r="B576" s="152">
        <f t="shared" si="24"/>
        <v>0</v>
      </c>
      <c r="D576" s="30">
        <f>IF('19. Sewer - Capex Input'!$I59=D$3,'19. Sewer - Capex Input'!$J59,0)</f>
        <v>0</v>
      </c>
      <c r="E576" s="30">
        <f>IF('19. Sewer - Capex Input'!$I59=E$3,'19. Sewer - Capex Input'!$J59,0)</f>
        <v>232452.76</v>
      </c>
      <c r="F576" s="30">
        <f>IF('19. Sewer - Capex Input'!$I59=F$3,'19. Sewer - Capex Input'!$J59,0)</f>
        <v>0</v>
      </c>
      <c r="G576" s="30">
        <f>IF('19. Sewer - Capex Input'!$I59=G$3,'19. Sewer - Capex Input'!$J59,0)</f>
        <v>0</v>
      </c>
      <c r="H576" s="30">
        <f>IF('19. Sewer - Capex Input'!$I59=H$3,'19. Sewer - Capex Input'!$J59,0)</f>
        <v>0</v>
      </c>
    </row>
    <row r="577" spans="2:8">
      <c r="B577" s="152">
        <f t="shared" si="24"/>
        <v>0</v>
      </c>
      <c r="D577" s="30">
        <f>IF('19. Sewer - Capex Input'!$I60=D$3,'19. Sewer - Capex Input'!$J60,0)</f>
        <v>0</v>
      </c>
      <c r="E577" s="30">
        <f>IF('19. Sewer - Capex Input'!$I60=E$3,'19. Sewer - Capex Input'!$J60,0)</f>
        <v>0</v>
      </c>
      <c r="F577" s="30">
        <f>IF('19. Sewer - Capex Input'!$I60=F$3,'19. Sewer - Capex Input'!$J60,0)</f>
        <v>2309399</v>
      </c>
      <c r="G577" s="30">
        <f>IF('19. Sewer - Capex Input'!$I60=G$3,'19. Sewer - Capex Input'!$J60,0)</f>
        <v>0</v>
      </c>
      <c r="H577" s="30">
        <f>IF('19. Sewer - Capex Input'!$I60=H$3,'19. Sewer - Capex Input'!$J60,0)</f>
        <v>0</v>
      </c>
    </row>
    <row r="578" spans="2:8">
      <c r="B578" s="152">
        <f t="shared" si="24"/>
        <v>0</v>
      </c>
      <c r="D578" s="30">
        <f>IF('19. Sewer - Capex Input'!$I61=D$3,'19. Sewer - Capex Input'!$J61,0)</f>
        <v>0</v>
      </c>
      <c r="E578" s="30">
        <f>IF('19. Sewer - Capex Input'!$I61=E$3,'19. Sewer - Capex Input'!$J61,0)</f>
        <v>0</v>
      </c>
      <c r="F578" s="30">
        <f>IF('19. Sewer - Capex Input'!$I61=F$3,'19. Sewer - Capex Input'!$J61,0)</f>
        <v>0</v>
      </c>
      <c r="G578" s="30">
        <f>IF('19. Sewer - Capex Input'!$I61=G$3,'19. Sewer - Capex Input'!$J61,0)</f>
        <v>145117</v>
      </c>
      <c r="H578" s="30">
        <f>IF('19. Sewer - Capex Input'!$I61=H$3,'19. Sewer - Capex Input'!$J61,0)</f>
        <v>0</v>
      </c>
    </row>
    <row r="579" spans="2:8">
      <c r="B579" s="152">
        <f t="shared" si="24"/>
        <v>0</v>
      </c>
      <c r="D579" s="30">
        <f>IF('19. Sewer - Capex Input'!$I62=D$3,'19. Sewer - Capex Input'!$J62,0)</f>
        <v>0</v>
      </c>
      <c r="E579" s="30">
        <f>IF('19. Sewer - Capex Input'!$I62=E$3,'19. Sewer - Capex Input'!$J62,0)</f>
        <v>0</v>
      </c>
      <c r="F579" s="30">
        <f>IF('19. Sewer - Capex Input'!$I62=F$3,'19. Sewer - Capex Input'!$J62,0)</f>
        <v>0</v>
      </c>
      <c r="G579" s="30">
        <f>IF('19. Sewer - Capex Input'!$I62=G$3,'19. Sewer - Capex Input'!$J62,0)</f>
        <v>1388303</v>
      </c>
      <c r="H579" s="30">
        <f>IF('19. Sewer - Capex Input'!$I62=H$3,'19. Sewer - Capex Input'!$J62,0)</f>
        <v>0</v>
      </c>
    </row>
    <row r="580" spans="2:8">
      <c r="B580" s="152">
        <f t="shared" si="24"/>
        <v>0</v>
      </c>
      <c r="D580" s="30">
        <f>IF('19. Sewer - Capex Input'!$I63=D$3,'19. Sewer - Capex Input'!$J63,0)</f>
        <v>0</v>
      </c>
      <c r="E580" s="30">
        <f>IF('19. Sewer - Capex Input'!$I63=E$3,'19. Sewer - Capex Input'!$J63,0)</f>
        <v>0</v>
      </c>
      <c r="F580" s="30">
        <f>IF('19. Sewer - Capex Input'!$I63=F$3,'19. Sewer - Capex Input'!$J63,0)</f>
        <v>0</v>
      </c>
      <c r="G580" s="30">
        <f>IF('19. Sewer - Capex Input'!$I63=G$3,'19. Sewer - Capex Input'!$J63,0)</f>
        <v>0</v>
      </c>
      <c r="H580" s="30">
        <f>IF('19. Sewer - Capex Input'!$I63=H$3,'19. Sewer - Capex Input'!$J63,0)</f>
        <v>1428759</v>
      </c>
    </row>
    <row r="581" spans="2:8">
      <c r="B581" s="152">
        <f t="shared" si="24"/>
        <v>0</v>
      </c>
      <c r="D581" s="30">
        <f>IF('19. Sewer - Capex Input'!$I64=D$3,'19. Sewer - Capex Input'!$J64,0)</f>
        <v>244671</v>
      </c>
      <c r="E581" s="30">
        <f>IF('19. Sewer - Capex Input'!$I64=E$3,'19. Sewer - Capex Input'!$J64,0)</f>
        <v>0</v>
      </c>
      <c r="F581" s="30">
        <f>IF('19. Sewer - Capex Input'!$I64=F$3,'19. Sewer - Capex Input'!$J64,0)</f>
        <v>0</v>
      </c>
      <c r="G581" s="30">
        <f>IF('19. Sewer - Capex Input'!$I64=G$3,'19. Sewer - Capex Input'!$J64,0)</f>
        <v>0</v>
      </c>
      <c r="H581" s="30">
        <f>IF('19. Sewer - Capex Input'!$I64=H$3,'19. Sewer - Capex Input'!$J64,0)</f>
        <v>0</v>
      </c>
    </row>
    <row r="582" spans="2:8">
      <c r="B582" s="152">
        <f t="shared" si="24"/>
        <v>0</v>
      </c>
      <c r="D582" s="30">
        <f>IF('19. Sewer - Capex Input'!$I65=D$3,'19. Sewer - Capex Input'!$J65,0)</f>
        <v>0</v>
      </c>
      <c r="E582" s="30">
        <f>IF('19. Sewer - Capex Input'!$I65=E$3,'19. Sewer - Capex Input'!$J65,0)</f>
        <v>2369776.9900000002</v>
      </c>
      <c r="F582" s="30">
        <f>IF('19. Sewer - Capex Input'!$I65=F$3,'19. Sewer - Capex Input'!$J65,0)</f>
        <v>0</v>
      </c>
      <c r="G582" s="30">
        <f>IF('19. Sewer - Capex Input'!$I65=G$3,'19. Sewer - Capex Input'!$J65,0)</f>
        <v>0</v>
      </c>
      <c r="H582" s="30">
        <f>IF('19. Sewer - Capex Input'!$I65=H$3,'19. Sewer - Capex Input'!$J65,0)</f>
        <v>0</v>
      </c>
    </row>
    <row r="583" spans="2:8">
      <c r="B583" s="152">
        <f t="shared" si="24"/>
        <v>0</v>
      </c>
      <c r="D583" s="30">
        <f>IF('19. Sewer - Capex Input'!$I66=D$3,'19. Sewer - Capex Input'!$J66,0)</f>
        <v>0</v>
      </c>
      <c r="E583" s="30">
        <f>IF('19. Sewer - Capex Input'!$I66=E$3,'19. Sewer - Capex Input'!$J66,0)</f>
        <v>0</v>
      </c>
      <c r="F583" s="30">
        <f>IF('19. Sewer - Capex Input'!$I66=F$3,'19. Sewer - Capex Input'!$J66,0)</f>
        <v>270063</v>
      </c>
      <c r="G583" s="30">
        <f>IF('19. Sewer - Capex Input'!$I66=G$3,'19. Sewer - Capex Input'!$J66,0)</f>
        <v>0</v>
      </c>
      <c r="H583" s="30">
        <f>IF('19. Sewer - Capex Input'!$I66=H$3,'19. Sewer - Capex Input'!$J66,0)</f>
        <v>0</v>
      </c>
    </row>
    <row r="584" spans="2:8">
      <c r="B584" s="152">
        <f t="shared" si="24"/>
        <v>0</v>
      </c>
      <c r="D584" s="30">
        <f>IF('19. Sewer - Capex Input'!$I67=D$3,'19. Sewer - Capex Input'!$J67,0)</f>
        <v>0</v>
      </c>
      <c r="E584" s="30">
        <f>IF('19. Sewer - Capex Input'!$I67=E$3,'19. Sewer - Capex Input'!$J67,0)</f>
        <v>0</v>
      </c>
      <c r="F584" s="30">
        <f>IF('19. Sewer - Capex Input'!$I67=F$3,'19. Sewer - Capex Input'!$J67,0)</f>
        <v>0</v>
      </c>
      <c r="G584" s="30">
        <f>IF('19. Sewer - Capex Input'!$I67=G$3,'19. Sewer - Capex Input'!$J67,0)</f>
        <v>1457718</v>
      </c>
      <c r="H584" s="30">
        <f>IF('19. Sewer - Capex Input'!$I67=H$3,'19. Sewer - Capex Input'!$J67,0)</f>
        <v>0</v>
      </c>
    </row>
    <row r="585" spans="2:8">
      <c r="B585" s="152">
        <f t="shared" si="24"/>
        <v>0</v>
      </c>
      <c r="D585" s="30">
        <f>IF('19. Sewer - Capex Input'!$I68=D$3,'19. Sewer - Capex Input'!$J68,0)</f>
        <v>0</v>
      </c>
      <c r="E585" s="30">
        <f>IF('19. Sewer - Capex Input'!$I68=E$3,'19. Sewer - Capex Input'!$J68,0)</f>
        <v>0</v>
      </c>
      <c r="F585" s="30">
        <f>IF('19. Sewer - Capex Input'!$I68=F$3,'19. Sewer - Capex Input'!$J68,0)</f>
        <v>0</v>
      </c>
      <c r="G585" s="30">
        <f>IF('19. Sewer - Capex Input'!$I68=G$3,'19. Sewer - Capex Input'!$J68,0)</f>
        <v>0</v>
      </c>
      <c r="H585" s="30">
        <f>IF('19. Sewer - Capex Input'!$I68=H$3,'19. Sewer - Capex Input'!$J68,0)</f>
        <v>714379</v>
      </c>
    </row>
    <row r="586" spans="2:8">
      <c r="B586" s="152">
        <f t="shared" si="24"/>
        <v>0</v>
      </c>
      <c r="D586" s="30">
        <f>IF('19. Sewer - Capex Input'!$I69=D$3,'19. Sewer - Capex Input'!$J69,0)</f>
        <v>410532.7</v>
      </c>
      <c r="E586" s="30">
        <f>IF('19. Sewer - Capex Input'!$I69=E$3,'19. Sewer - Capex Input'!$J69,0)</f>
        <v>0</v>
      </c>
      <c r="F586" s="30">
        <f>IF('19. Sewer - Capex Input'!$I69=F$3,'19. Sewer - Capex Input'!$J69,0)</f>
        <v>0</v>
      </c>
      <c r="G586" s="30">
        <f>IF('19. Sewer - Capex Input'!$I69=G$3,'19. Sewer - Capex Input'!$J69,0)</f>
        <v>0</v>
      </c>
      <c r="H586" s="30">
        <f>IF('19. Sewer - Capex Input'!$I69=H$3,'19. Sewer - Capex Input'!$J69,0)</f>
        <v>0</v>
      </c>
    </row>
    <row r="587" spans="2:8">
      <c r="B587" s="152">
        <f t="shared" ref="B587:B650" si="25">B420</f>
        <v>0</v>
      </c>
      <c r="D587" s="30">
        <f>IF('19. Sewer - Capex Input'!$I70=D$3,'19. Sewer - Capex Input'!$J70,0)</f>
        <v>0</v>
      </c>
      <c r="E587" s="30">
        <f>IF('19. Sewer - Capex Input'!$I70=E$3,'19. Sewer - Capex Input'!$J70,0)</f>
        <v>168700.6</v>
      </c>
      <c r="F587" s="30">
        <f>IF('19. Sewer - Capex Input'!$I70=F$3,'19. Sewer - Capex Input'!$J70,0)</f>
        <v>0</v>
      </c>
      <c r="G587" s="30">
        <f>IF('19. Sewer - Capex Input'!$I70=G$3,'19. Sewer - Capex Input'!$J70,0)</f>
        <v>0</v>
      </c>
      <c r="H587" s="30">
        <f>IF('19. Sewer - Capex Input'!$I70=H$3,'19. Sewer - Capex Input'!$J70,0)</f>
        <v>0</v>
      </c>
    </row>
    <row r="588" spans="2:8">
      <c r="B588" s="152">
        <f t="shared" si="25"/>
        <v>0</v>
      </c>
      <c r="D588" s="30">
        <f>IF('19. Sewer - Capex Input'!$I71=D$3,'19. Sewer - Capex Input'!$J71,0)</f>
        <v>0</v>
      </c>
      <c r="E588" s="30">
        <f>IF('19. Sewer - Capex Input'!$I71=E$3,'19. Sewer - Capex Input'!$J71,0)</f>
        <v>0</v>
      </c>
      <c r="F588" s="30">
        <f>IF('19. Sewer - Capex Input'!$I71=F$3,'19. Sewer - Capex Input'!$J71,0)</f>
        <v>1627108</v>
      </c>
      <c r="G588" s="30">
        <f>IF('19. Sewer - Capex Input'!$I71=G$3,'19. Sewer - Capex Input'!$J71,0)</f>
        <v>0</v>
      </c>
      <c r="H588" s="30">
        <f>IF('19. Sewer - Capex Input'!$I71=H$3,'19. Sewer - Capex Input'!$J71,0)</f>
        <v>0</v>
      </c>
    </row>
    <row r="589" spans="2:8">
      <c r="B589" s="152">
        <f t="shared" si="25"/>
        <v>0</v>
      </c>
      <c r="D589" s="30">
        <f>IF('19. Sewer - Capex Input'!$I72=D$3,'19. Sewer - Capex Input'!$J72,0)</f>
        <v>1980737.99</v>
      </c>
      <c r="E589" s="30">
        <f>IF('19. Sewer - Capex Input'!$I72=E$3,'19. Sewer - Capex Input'!$J72,0)</f>
        <v>0</v>
      </c>
      <c r="F589" s="30">
        <f>IF('19. Sewer - Capex Input'!$I72=F$3,'19. Sewer - Capex Input'!$J72,0)</f>
        <v>0</v>
      </c>
      <c r="G589" s="30">
        <f>IF('19. Sewer - Capex Input'!$I72=G$3,'19. Sewer - Capex Input'!$J72,0)</f>
        <v>0</v>
      </c>
      <c r="H589" s="30">
        <f>IF('19. Sewer - Capex Input'!$I72=H$3,'19. Sewer - Capex Input'!$J72,0)</f>
        <v>0</v>
      </c>
    </row>
    <row r="590" spans="2:8">
      <c r="B590" s="152">
        <f t="shared" si="25"/>
        <v>0</v>
      </c>
      <c r="D590" s="30">
        <f>IF('19. Sewer - Capex Input'!$I73=D$3,'19. Sewer - Capex Input'!$J73,0)</f>
        <v>0</v>
      </c>
      <c r="E590" s="30">
        <f>IF('19. Sewer - Capex Input'!$I73=E$3,'19. Sewer - Capex Input'!$J73,0)</f>
        <v>45627.62999999999</v>
      </c>
      <c r="F590" s="30">
        <f>IF('19. Sewer - Capex Input'!$I73=F$3,'19. Sewer - Capex Input'!$J73,0)</f>
        <v>0</v>
      </c>
      <c r="G590" s="30">
        <f>IF('19. Sewer - Capex Input'!$I73=G$3,'19. Sewer - Capex Input'!$J73,0)</f>
        <v>0</v>
      </c>
      <c r="H590" s="30">
        <f>IF('19. Sewer - Capex Input'!$I73=H$3,'19. Sewer - Capex Input'!$J73,0)</f>
        <v>0</v>
      </c>
    </row>
    <row r="591" spans="2:8">
      <c r="B591" s="152">
        <f t="shared" si="25"/>
        <v>0</v>
      </c>
      <c r="D591" s="30">
        <f>IF('19. Sewer - Capex Input'!$I74=D$3,'19. Sewer - Capex Input'!$J74,0)</f>
        <v>288302.26999999996</v>
      </c>
      <c r="E591" s="30">
        <f>IF('19. Sewer - Capex Input'!$I74=E$3,'19. Sewer - Capex Input'!$J74,0)</f>
        <v>0</v>
      </c>
      <c r="F591" s="30">
        <f>IF('19. Sewer - Capex Input'!$I74=F$3,'19. Sewer - Capex Input'!$J74,0)</f>
        <v>0</v>
      </c>
      <c r="G591" s="30">
        <f>IF('19. Sewer - Capex Input'!$I74=G$3,'19. Sewer - Capex Input'!$J74,0)</f>
        <v>0</v>
      </c>
      <c r="H591" s="30">
        <f>IF('19. Sewer - Capex Input'!$I74=H$3,'19. Sewer - Capex Input'!$J74,0)</f>
        <v>0</v>
      </c>
    </row>
    <row r="592" spans="2:8">
      <c r="B592" s="152">
        <f t="shared" si="25"/>
        <v>0</v>
      </c>
      <c r="D592" s="30">
        <f>IF('19. Sewer - Capex Input'!$I75=D$3,'19. Sewer - Capex Input'!$J75,0)</f>
        <v>0</v>
      </c>
      <c r="E592" s="30">
        <f>IF('19. Sewer - Capex Input'!$I75=E$3,'19. Sewer - Capex Input'!$J75,0)</f>
        <v>171159.56</v>
      </c>
      <c r="F592" s="30">
        <f>IF('19. Sewer - Capex Input'!$I75=F$3,'19. Sewer - Capex Input'!$J75,0)</f>
        <v>0</v>
      </c>
      <c r="G592" s="30">
        <f>IF('19. Sewer - Capex Input'!$I75=G$3,'19. Sewer - Capex Input'!$J75,0)</f>
        <v>0</v>
      </c>
      <c r="H592" s="30">
        <f>IF('19. Sewer - Capex Input'!$I75=H$3,'19. Sewer - Capex Input'!$J75,0)</f>
        <v>0</v>
      </c>
    </row>
    <row r="593" spans="2:8">
      <c r="B593" s="152">
        <f t="shared" si="25"/>
        <v>0</v>
      </c>
      <c r="D593" s="30">
        <f>IF('19. Sewer - Capex Input'!$I76=D$3,'19. Sewer - Capex Input'!$J76,0)</f>
        <v>0</v>
      </c>
      <c r="E593" s="30">
        <f>IF('19. Sewer - Capex Input'!$I76=E$3,'19. Sewer - Capex Input'!$J76,0)</f>
        <v>0</v>
      </c>
      <c r="F593" s="30">
        <f>IF('19. Sewer - Capex Input'!$I76=F$3,'19. Sewer - Capex Input'!$J76,0)</f>
        <v>432101</v>
      </c>
      <c r="G593" s="30">
        <f>IF('19. Sewer - Capex Input'!$I76=G$3,'19. Sewer - Capex Input'!$J76,0)</f>
        <v>0</v>
      </c>
      <c r="H593" s="30">
        <f>IF('19. Sewer - Capex Input'!$I76=H$3,'19. Sewer - Capex Input'!$J76,0)</f>
        <v>0</v>
      </c>
    </row>
    <row r="594" spans="2:8">
      <c r="B594" s="152">
        <f t="shared" si="25"/>
        <v>0</v>
      </c>
      <c r="D594" s="30">
        <f>IF('19. Sewer - Capex Input'!$I77=D$3,'19. Sewer - Capex Input'!$J77,0)</f>
        <v>0</v>
      </c>
      <c r="E594" s="30">
        <f>IF('19. Sewer - Capex Input'!$I77=E$3,'19. Sewer - Capex Input'!$J77,0)</f>
        <v>0</v>
      </c>
      <c r="F594" s="30">
        <f>IF('19. Sewer - Capex Input'!$I77=F$3,'19. Sewer - Capex Input'!$J77,0)</f>
        <v>0</v>
      </c>
      <c r="G594" s="30">
        <f>IF('19. Sewer - Capex Input'!$I77=G$3,'19. Sewer - Capex Input'!$J77,0)</f>
        <v>444257</v>
      </c>
      <c r="H594" s="30">
        <f>IF('19. Sewer - Capex Input'!$I77=H$3,'19. Sewer - Capex Input'!$J77,0)</f>
        <v>0</v>
      </c>
    </row>
    <row r="595" spans="2:8">
      <c r="B595" s="152">
        <f t="shared" si="25"/>
        <v>0</v>
      </c>
      <c r="D595" s="30">
        <f>IF('19. Sewer - Capex Input'!$I78=D$3,'19. Sewer - Capex Input'!$J78,0)</f>
        <v>0</v>
      </c>
      <c r="E595" s="30">
        <f>IF('19. Sewer - Capex Input'!$I78=E$3,'19. Sewer - Capex Input'!$J78,0)</f>
        <v>0</v>
      </c>
      <c r="F595" s="30">
        <f>IF('19. Sewer - Capex Input'!$I78=F$3,'19. Sewer - Capex Input'!$J78,0)</f>
        <v>0</v>
      </c>
      <c r="G595" s="30">
        <f>IF('19. Sewer - Capex Input'!$I78=G$3,'19. Sewer - Capex Input'!$J78,0)</f>
        <v>0</v>
      </c>
      <c r="H595" s="30">
        <f>IF('19. Sewer - Capex Input'!$I78=H$3,'19. Sewer - Capex Input'!$J78,0)</f>
        <v>457203</v>
      </c>
    </row>
    <row r="596" spans="2:8">
      <c r="B596" s="152">
        <f t="shared" si="25"/>
        <v>0</v>
      </c>
      <c r="D596" s="30">
        <f>IF('19. Sewer - Capex Input'!$I79=D$3,'19. Sewer - Capex Input'!$J79,0)</f>
        <v>0</v>
      </c>
      <c r="E596" s="30">
        <f>IF('19. Sewer - Capex Input'!$I79=E$3,'19. Sewer - Capex Input'!$J79,0)</f>
        <v>0</v>
      </c>
      <c r="F596" s="30">
        <f>IF('19. Sewer - Capex Input'!$I79=F$3,'19. Sewer - Capex Input'!$J79,0)</f>
        <v>0</v>
      </c>
      <c r="G596" s="30">
        <f>IF('19. Sewer - Capex Input'!$I79=G$3,'19. Sewer - Capex Input'!$J79,0)</f>
        <v>111064</v>
      </c>
      <c r="H596" s="30">
        <f>IF('19. Sewer - Capex Input'!$I79=H$3,'19. Sewer - Capex Input'!$J79,0)</f>
        <v>0</v>
      </c>
    </row>
    <row r="597" spans="2:8">
      <c r="B597" s="152">
        <f t="shared" si="25"/>
        <v>0</v>
      </c>
      <c r="D597" s="30">
        <f>IF('19. Sewer - Capex Input'!$I80=D$3,'19. Sewer - Capex Input'!$J80,0)</f>
        <v>0</v>
      </c>
      <c r="E597" s="30">
        <f>IF('19. Sewer - Capex Input'!$I80=E$3,'19. Sewer - Capex Input'!$J80,0)</f>
        <v>0</v>
      </c>
      <c r="F597" s="30">
        <f>IF('19. Sewer - Capex Input'!$I80=F$3,'19. Sewer - Capex Input'!$J80,0)</f>
        <v>0</v>
      </c>
      <c r="G597" s="30">
        <f>IF('19. Sewer - Capex Input'!$I80=G$3,'19. Sewer - Capex Input'!$J80,0)</f>
        <v>0</v>
      </c>
      <c r="H597" s="30">
        <f>IF('19. Sewer - Capex Input'!$I80=H$3,'19. Sewer - Capex Input'!$J80,0)</f>
        <v>942981</v>
      </c>
    </row>
    <row r="598" spans="2:8">
      <c r="B598" s="152">
        <f t="shared" si="25"/>
        <v>0</v>
      </c>
      <c r="D598" s="30">
        <f>IF('19. Sewer - Capex Input'!$I81=D$3,'19. Sewer - Capex Input'!$J81,0)</f>
        <v>0</v>
      </c>
      <c r="E598" s="30">
        <f>IF('19. Sewer - Capex Input'!$I81=E$3,'19. Sewer - Capex Input'!$J81,0)</f>
        <v>0</v>
      </c>
      <c r="F598" s="30">
        <f>IF('19. Sewer - Capex Input'!$I81=F$3,'19. Sewer - Capex Input'!$J81,0)</f>
        <v>326154.28881605028</v>
      </c>
      <c r="G598" s="30">
        <f>IF('19. Sewer - Capex Input'!$I81=G$3,'19. Sewer - Capex Input'!$J81,0)</f>
        <v>0</v>
      </c>
      <c r="H598" s="30">
        <f>IF('19. Sewer - Capex Input'!$I81=H$3,'19. Sewer - Capex Input'!$J81,0)</f>
        <v>0</v>
      </c>
    </row>
    <row r="599" spans="2:8">
      <c r="B599" s="152">
        <f t="shared" si="25"/>
        <v>0</v>
      </c>
      <c r="D599" s="30">
        <f>IF('19. Sewer - Capex Input'!$I82=D$3,'19. Sewer - Capex Input'!$J82,0)</f>
        <v>0</v>
      </c>
      <c r="E599" s="30">
        <f>IF('19. Sewer - Capex Input'!$I82=E$3,'19. Sewer - Capex Input'!$J82,0)</f>
        <v>0</v>
      </c>
      <c r="F599" s="30">
        <f>IF('19. Sewer - Capex Input'!$I82=F$3,'19. Sewer - Capex Input'!$J82,0)</f>
        <v>0</v>
      </c>
      <c r="G599" s="30">
        <f>IF('19. Sewer - Capex Input'!$I82=G$3,'19. Sewer - Capex Input'!$J82,0)</f>
        <v>334642.72972199367</v>
      </c>
      <c r="H599" s="30">
        <f>IF('19. Sewer - Capex Input'!$I82=H$3,'19. Sewer - Capex Input'!$J82,0)</f>
        <v>0</v>
      </c>
    </row>
    <row r="600" spans="2:8">
      <c r="B600" s="152">
        <f t="shared" si="25"/>
        <v>0</v>
      </c>
      <c r="D600" s="30">
        <f>IF('19. Sewer - Capex Input'!$I83=D$3,'19. Sewer - Capex Input'!$J83,0)</f>
        <v>0</v>
      </c>
      <c r="E600" s="30">
        <f>IF('19. Sewer - Capex Input'!$I83=E$3,'19. Sewer - Capex Input'!$J83,0)</f>
        <v>0</v>
      </c>
      <c r="F600" s="30">
        <f>IF('19. Sewer - Capex Input'!$I83=F$3,'19. Sewer - Capex Input'!$J83,0)</f>
        <v>0</v>
      </c>
      <c r="G600" s="30">
        <f>IF('19. Sewer - Capex Input'!$I83=G$3,'19. Sewer - Capex Input'!$J83,0)</f>
        <v>0</v>
      </c>
      <c r="H600" s="30">
        <f>IF('19. Sewer - Capex Input'!$I83=H$3,'19. Sewer - Capex Input'!$J83,0)</f>
        <v>364585.1700548681</v>
      </c>
    </row>
    <row r="601" spans="2:8">
      <c r="B601" s="152">
        <f t="shared" si="25"/>
        <v>0</v>
      </c>
      <c r="D601" s="30">
        <f>IF('19. Sewer - Capex Input'!$I84=D$3,'19. Sewer - Capex Input'!$J84,0)</f>
        <v>0</v>
      </c>
      <c r="E601" s="30">
        <f>IF('19. Sewer - Capex Input'!$I84=E$3,'19. Sewer - Capex Input'!$J84,0)</f>
        <v>0</v>
      </c>
      <c r="F601" s="30">
        <f>IF('19. Sewer - Capex Input'!$I84=F$3,'19. Sewer - Capex Input'!$J84,0)</f>
        <v>0</v>
      </c>
      <c r="G601" s="30">
        <f>IF('19. Sewer - Capex Input'!$I84=G$3,'19. Sewer - Capex Input'!$J84,0)</f>
        <v>430374</v>
      </c>
      <c r="H601" s="30">
        <f>IF('19. Sewer - Capex Input'!$I84=H$3,'19. Sewer - Capex Input'!$J84,0)</f>
        <v>0</v>
      </c>
    </row>
    <row r="602" spans="2:8">
      <c r="B602" s="152">
        <f t="shared" si="25"/>
        <v>0</v>
      </c>
      <c r="D602" s="30">
        <f>IF('19. Sewer - Capex Input'!$I85=D$3,'19. Sewer - Capex Input'!$J85,0)</f>
        <v>0</v>
      </c>
      <c r="E602" s="30">
        <f>IF('19. Sewer - Capex Input'!$I85=E$3,'19. Sewer - Capex Input'!$J85,0)</f>
        <v>0</v>
      </c>
      <c r="F602" s="30">
        <f>IF('19. Sewer - Capex Input'!$I85=F$3,'19. Sewer - Capex Input'!$J85,0)</f>
        <v>0</v>
      </c>
      <c r="G602" s="30">
        <f>IF('19. Sewer - Capex Input'!$I85=G$3,'19. Sewer - Capex Input'!$J85,0)</f>
        <v>0</v>
      </c>
      <c r="H602" s="30">
        <f>IF('19. Sewer - Capex Input'!$I85=H$3,'19. Sewer - Capex Input'!$J85,0)</f>
        <v>571504</v>
      </c>
    </row>
    <row r="603" spans="2:8">
      <c r="B603" s="152">
        <f t="shared" si="25"/>
        <v>0</v>
      </c>
      <c r="D603" s="30">
        <f>IF('19. Sewer - Capex Input'!$I86=D$3,'19. Sewer - Capex Input'!$J86,0)</f>
        <v>92978.75</v>
      </c>
      <c r="E603" s="30">
        <f>IF('19. Sewer - Capex Input'!$I86=E$3,'19. Sewer - Capex Input'!$J86,0)</f>
        <v>0</v>
      </c>
      <c r="F603" s="30">
        <f>IF('19. Sewer - Capex Input'!$I86=F$3,'19. Sewer - Capex Input'!$J86,0)</f>
        <v>0</v>
      </c>
      <c r="G603" s="30">
        <f>IF('19. Sewer - Capex Input'!$I86=G$3,'19. Sewer - Capex Input'!$J86,0)</f>
        <v>0</v>
      </c>
      <c r="H603" s="30">
        <f>IF('19. Sewer - Capex Input'!$I86=H$3,'19. Sewer - Capex Input'!$J86,0)</f>
        <v>0</v>
      </c>
    </row>
    <row r="604" spans="2:8">
      <c r="B604" s="152">
        <f t="shared" si="25"/>
        <v>0</v>
      </c>
      <c r="D604" s="30">
        <f>IF('19. Sewer - Capex Input'!$I87=D$3,'19. Sewer - Capex Input'!$J87,0)</f>
        <v>0</v>
      </c>
      <c r="E604" s="30">
        <f>IF('19. Sewer - Capex Input'!$I87=E$3,'19. Sewer - Capex Input'!$J87,0)</f>
        <v>738406.73</v>
      </c>
      <c r="F604" s="30">
        <f>IF('19. Sewer - Capex Input'!$I87=F$3,'19. Sewer - Capex Input'!$J87,0)</f>
        <v>0</v>
      </c>
      <c r="G604" s="30">
        <f>IF('19. Sewer - Capex Input'!$I87=G$3,'19. Sewer - Capex Input'!$J87,0)</f>
        <v>0</v>
      </c>
      <c r="H604" s="30">
        <f>IF('19. Sewer - Capex Input'!$I87=H$3,'19. Sewer - Capex Input'!$J87,0)</f>
        <v>0</v>
      </c>
    </row>
    <row r="605" spans="2:8">
      <c r="B605" s="152">
        <f t="shared" si="25"/>
        <v>0</v>
      </c>
      <c r="D605" s="30">
        <f>IF('19. Sewer - Capex Input'!$I88=D$3,'19. Sewer - Capex Input'!$J88,0)</f>
        <v>805386.86999999988</v>
      </c>
      <c r="E605" s="30">
        <f>IF('19. Sewer - Capex Input'!$I88=E$3,'19. Sewer - Capex Input'!$J88,0)</f>
        <v>0</v>
      </c>
      <c r="F605" s="30">
        <f>IF('19. Sewer - Capex Input'!$I88=F$3,'19. Sewer - Capex Input'!$J88,0)</f>
        <v>0</v>
      </c>
      <c r="G605" s="30">
        <f>IF('19. Sewer - Capex Input'!$I88=G$3,'19. Sewer - Capex Input'!$J88,0)</f>
        <v>0</v>
      </c>
      <c r="H605" s="30">
        <f>IF('19. Sewer - Capex Input'!$I88=H$3,'19. Sewer - Capex Input'!$J88,0)</f>
        <v>0</v>
      </c>
    </row>
    <row r="606" spans="2:8">
      <c r="B606" s="152">
        <f t="shared" si="25"/>
        <v>0</v>
      </c>
      <c r="D606" s="30">
        <f>IF('19. Sewer - Capex Input'!$I89=D$3,'19. Sewer - Capex Input'!$J89,0)</f>
        <v>0</v>
      </c>
      <c r="E606" s="30">
        <f>IF('19. Sewer - Capex Input'!$I89=E$3,'19. Sewer - Capex Input'!$J89,0)</f>
        <v>22168.769999999997</v>
      </c>
      <c r="F606" s="30">
        <f>IF('19. Sewer - Capex Input'!$I89=F$3,'19. Sewer - Capex Input'!$J89,0)</f>
        <v>0</v>
      </c>
      <c r="G606" s="30">
        <f>IF('19. Sewer - Capex Input'!$I89=G$3,'19. Sewer - Capex Input'!$J89,0)</f>
        <v>0</v>
      </c>
      <c r="H606" s="30">
        <f>IF('19. Sewer - Capex Input'!$I89=H$3,'19. Sewer - Capex Input'!$J89,0)</f>
        <v>0</v>
      </c>
    </row>
    <row r="607" spans="2:8">
      <c r="B607" s="152">
        <f t="shared" si="25"/>
        <v>0</v>
      </c>
      <c r="D607" s="30">
        <f>IF('19. Sewer - Capex Input'!$I90=D$3,'19. Sewer - Capex Input'!$J90,0)</f>
        <v>534805.83000000007</v>
      </c>
      <c r="E607" s="30">
        <f>IF('19. Sewer - Capex Input'!$I90=E$3,'19. Sewer - Capex Input'!$J90,0)</f>
        <v>0</v>
      </c>
      <c r="F607" s="30">
        <f>IF('19. Sewer - Capex Input'!$I90=F$3,'19. Sewer - Capex Input'!$J90,0)</f>
        <v>0</v>
      </c>
      <c r="G607" s="30">
        <f>IF('19. Sewer - Capex Input'!$I90=G$3,'19. Sewer - Capex Input'!$J90,0)</f>
        <v>0</v>
      </c>
      <c r="H607" s="30">
        <f>IF('19. Sewer - Capex Input'!$I90=H$3,'19. Sewer - Capex Input'!$J90,0)</f>
        <v>0</v>
      </c>
    </row>
    <row r="608" spans="2:8">
      <c r="B608" s="152">
        <f t="shared" si="25"/>
        <v>0</v>
      </c>
      <c r="D608" s="30">
        <f>IF('19. Sewer - Capex Input'!$I91=D$3,'19. Sewer - Capex Input'!$J91,0)</f>
        <v>0</v>
      </c>
      <c r="E608" s="30">
        <f>IF('19. Sewer - Capex Input'!$I91=E$3,'19. Sewer - Capex Input'!$J91,0)</f>
        <v>164445.18</v>
      </c>
      <c r="F608" s="30">
        <f>IF('19. Sewer - Capex Input'!$I91=F$3,'19. Sewer - Capex Input'!$J91,0)</f>
        <v>0</v>
      </c>
      <c r="G608" s="30">
        <f>IF('19. Sewer - Capex Input'!$I91=G$3,'19. Sewer - Capex Input'!$J91,0)</f>
        <v>0</v>
      </c>
      <c r="H608" s="30">
        <f>IF('19. Sewer - Capex Input'!$I91=H$3,'19. Sewer - Capex Input'!$J91,0)</f>
        <v>0</v>
      </c>
    </row>
    <row r="609" spans="2:8">
      <c r="B609" s="152">
        <f t="shared" si="25"/>
        <v>0</v>
      </c>
      <c r="D609" s="30">
        <f>IF('19. Sewer - Capex Input'!$I92=D$3,'19. Sewer - Capex Input'!$J92,0)</f>
        <v>0</v>
      </c>
      <c r="E609" s="30">
        <f>IF('19. Sewer - Capex Input'!$I92=E$3,'19. Sewer - Capex Input'!$J92,0)</f>
        <v>0</v>
      </c>
      <c r="F609" s="30">
        <f>IF('19. Sewer - Capex Input'!$I92=F$3,'19. Sewer - Capex Input'!$J92,0)</f>
        <v>652308.57763210055</v>
      </c>
      <c r="G609" s="30">
        <f>IF('19. Sewer - Capex Input'!$I92=G$3,'19. Sewer - Capex Input'!$J92,0)</f>
        <v>0</v>
      </c>
      <c r="H609" s="30">
        <f>IF('19. Sewer - Capex Input'!$I92=H$3,'19. Sewer - Capex Input'!$J92,0)</f>
        <v>0</v>
      </c>
    </row>
    <row r="610" spans="2:8">
      <c r="B610" s="152">
        <f t="shared" si="25"/>
        <v>0</v>
      </c>
      <c r="D610" s="30">
        <f>IF('19. Sewer - Capex Input'!$I93=D$3,'19. Sewer - Capex Input'!$J93,0)</f>
        <v>16470.710000000006</v>
      </c>
      <c r="E610" s="30">
        <f>IF('19. Sewer - Capex Input'!$I93=E$3,'19. Sewer - Capex Input'!$J93,0)</f>
        <v>0</v>
      </c>
      <c r="F610" s="30">
        <f>IF('19. Sewer - Capex Input'!$I93=F$3,'19. Sewer - Capex Input'!$J93,0)</f>
        <v>0</v>
      </c>
      <c r="G610" s="30">
        <f>IF('19. Sewer - Capex Input'!$I93=G$3,'19. Sewer - Capex Input'!$J93,0)</f>
        <v>0</v>
      </c>
      <c r="H610" s="30">
        <f>IF('19. Sewer - Capex Input'!$I93=H$3,'19. Sewer - Capex Input'!$J93,0)</f>
        <v>0</v>
      </c>
    </row>
    <row r="611" spans="2:8">
      <c r="B611" s="152">
        <f t="shared" si="25"/>
        <v>0</v>
      </c>
      <c r="D611" s="30">
        <f>IF('19. Sewer - Capex Input'!$I94=D$3,'19. Sewer - Capex Input'!$J94,0)</f>
        <v>0</v>
      </c>
      <c r="E611" s="30">
        <f>IF('19. Sewer - Capex Input'!$I94=E$3,'19. Sewer - Capex Input'!$J94,0)</f>
        <v>184298.356</v>
      </c>
      <c r="F611" s="30">
        <f>IF('19. Sewer - Capex Input'!$I94=F$3,'19. Sewer - Capex Input'!$J94,0)</f>
        <v>0</v>
      </c>
      <c r="G611" s="30">
        <f>IF('19. Sewer - Capex Input'!$I94=G$3,'19. Sewer - Capex Input'!$J94,0)</f>
        <v>0</v>
      </c>
      <c r="H611" s="30">
        <f>IF('19. Sewer - Capex Input'!$I94=H$3,'19. Sewer - Capex Input'!$J94,0)</f>
        <v>0</v>
      </c>
    </row>
    <row r="612" spans="2:8">
      <c r="B612" s="152">
        <f t="shared" si="25"/>
        <v>0</v>
      </c>
      <c r="D612" s="30">
        <f>IF('19. Sewer - Capex Input'!$I95=D$3,'19. Sewer - Capex Input'!$J95,0)</f>
        <v>0</v>
      </c>
      <c r="E612" s="30">
        <f>IF('19. Sewer - Capex Input'!$I95=E$3,'19. Sewer - Capex Input'!$J95,0)</f>
        <v>0</v>
      </c>
      <c r="F612" s="30">
        <f>IF('19. Sewer - Capex Input'!$I95=F$3,'19. Sewer - Capex Input'!$J95,0)</f>
        <v>216050</v>
      </c>
      <c r="G612" s="30">
        <f>IF('19. Sewer - Capex Input'!$I95=G$3,'19. Sewer - Capex Input'!$J95,0)</f>
        <v>0</v>
      </c>
      <c r="H612" s="30">
        <f>IF('19. Sewer - Capex Input'!$I95=H$3,'19. Sewer - Capex Input'!$J95,0)</f>
        <v>0</v>
      </c>
    </row>
    <row r="613" spans="2:8">
      <c r="B613" s="152">
        <f t="shared" si="25"/>
        <v>0</v>
      </c>
      <c r="D613" s="30">
        <f>IF('19. Sewer - Capex Input'!$I96=D$3,'19. Sewer - Capex Input'!$J96,0)</f>
        <v>156677.38000000003</v>
      </c>
      <c r="E613" s="30">
        <f>IF('19. Sewer - Capex Input'!$I96=E$3,'19. Sewer - Capex Input'!$J96,0)</f>
        <v>0</v>
      </c>
      <c r="F613" s="30">
        <f>IF('19. Sewer - Capex Input'!$I96=F$3,'19. Sewer - Capex Input'!$J96,0)</f>
        <v>0</v>
      </c>
      <c r="G613" s="30">
        <f>IF('19. Sewer - Capex Input'!$I96=G$3,'19. Sewer - Capex Input'!$J96,0)</f>
        <v>0</v>
      </c>
      <c r="H613" s="30">
        <f>IF('19. Sewer - Capex Input'!$I96=H$3,'19. Sewer - Capex Input'!$J96,0)</f>
        <v>0</v>
      </c>
    </row>
    <row r="614" spans="2:8">
      <c r="B614" s="152">
        <f t="shared" si="25"/>
        <v>0</v>
      </c>
      <c r="D614" s="30">
        <f>IF('19. Sewer - Capex Input'!$I97=D$3,'19. Sewer - Capex Input'!$J97,0)</f>
        <v>0</v>
      </c>
      <c r="E614" s="30">
        <f>IF('19. Sewer - Capex Input'!$I97=E$3,'19. Sewer - Capex Input'!$J97,0)</f>
        <v>115350.6</v>
      </c>
      <c r="F614" s="30">
        <f>IF('19. Sewer - Capex Input'!$I97=F$3,'19. Sewer - Capex Input'!$J97,0)</f>
        <v>0</v>
      </c>
      <c r="G614" s="30">
        <f>IF('19. Sewer - Capex Input'!$I97=G$3,'19. Sewer - Capex Input'!$J97,0)</f>
        <v>0</v>
      </c>
      <c r="H614" s="30">
        <f>IF('19. Sewer - Capex Input'!$I97=H$3,'19. Sewer - Capex Input'!$J97,0)</f>
        <v>0</v>
      </c>
    </row>
    <row r="615" spans="2:8">
      <c r="B615" s="152">
        <f t="shared" si="25"/>
        <v>0</v>
      </c>
      <c r="D615" s="30">
        <f>IF('19. Sewer - Capex Input'!$I98=D$3,'19. Sewer - Capex Input'!$J98,0)</f>
        <v>0</v>
      </c>
      <c r="E615" s="30">
        <f>IF('19. Sewer - Capex Input'!$I98=E$3,'19. Sewer - Capex Input'!$J98,0)</f>
        <v>0</v>
      </c>
      <c r="F615" s="30">
        <f>IF('19. Sewer - Capex Input'!$I98=F$3,'19. Sewer - Capex Input'!$J98,0)</f>
        <v>0</v>
      </c>
      <c r="G615" s="30">
        <f>IF('19. Sewer - Capex Input'!$I98=G$3,'19. Sewer - Capex Input'!$J98,0)</f>
        <v>261695</v>
      </c>
      <c r="H615" s="30">
        <f>IF('19. Sewer - Capex Input'!$I98=H$3,'19. Sewer - Capex Input'!$J98,0)</f>
        <v>0</v>
      </c>
    </row>
    <row r="616" spans="2:8">
      <c r="B616" s="152">
        <f t="shared" si="25"/>
        <v>0</v>
      </c>
      <c r="D616" s="30">
        <f>IF('19. Sewer - Capex Input'!$I99=D$3,'19. Sewer - Capex Input'!$J99,0)</f>
        <v>120959.48000000008</v>
      </c>
      <c r="E616" s="30">
        <f>IF('19. Sewer - Capex Input'!$I99=E$3,'19. Sewer - Capex Input'!$J99,0)</f>
        <v>0</v>
      </c>
      <c r="F616" s="30">
        <f>IF('19. Sewer - Capex Input'!$I99=F$3,'19. Sewer - Capex Input'!$J99,0)</f>
        <v>0</v>
      </c>
      <c r="G616" s="30">
        <f>IF('19. Sewer - Capex Input'!$I99=G$3,'19. Sewer - Capex Input'!$J99,0)</f>
        <v>0</v>
      </c>
      <c r="H616" s="30">
        <f>IF('19. Sewer - Capex Input'!$I99=H$3,'19. Sewer - Capex Input'!$J99,0)</f>
        <v>0</v>
      </c>
    </row>
    <row r="617" spans="2:8">
      <c r="B617" s="152">
        <f t="shared" si="25"/>
        <v>0</v>
      </c>
      <c r="D617" s="30">
        <f>IF('19. Sewer - Capex Input'!$I100=D$3,'19. Sewer - Capex Input'!$J100,0)</f>
        <v>100689.83999999997</v>
      </c>
      <c r="E617" s="30">
        <f>IF('19. Sewer - Capex Input'!$I100=E$3,'19. Sewer - Capex Input'!$J100,0)</f>
        <v>0</v>
      </c>
      <c r="F617" s="30">
        <f>IF('19. Sewer - Capex Input'!$I100=F$3,'19. Sewer - Capex Input'!$J100,0)</f>
        <v>0</v>
      </c>
      <c r="G617" s="30">
        <f>IF('19. Sewer - Capex Input'!$I100=G$3,'19. Sewer - Capex Input'!$J100,0)</f>
        <v>0</v>
      </c>
      <c r="H617" s="30">
        <f>IF('19. Sewer - Capex Input'!$I100=H$3,'19. Sewer - Capex Input'!$J100,0)</f>
        <v>0</v>
      </c>
    </row>
    <row r="618" spans="2:8">
      <c r="B618" s="152">
        <f t="shared" si="25"/>
        <v>0</v>
      </c>
      <c r="D618" s="30">
        <f>IF('19. Sewer - Capex Input'!$I101=D$3,'19. Sewer - Capex Input'!$J101,0)</f>
        <v>70748.930000000008</v>
      </c>
      <c r="E618" s="30">
        <f>IF('19. Sewer - Capex Input'!$I101=E$3,'19. Sewer - Capex Input'!$J101,0)</f>
        <v>0</v>
      </c>
      <c r="F618" s="30">
        <f>IF('19. Sewer - Capex Input'!$I101=F$3,'19. Sewer - Capex Input'!$J101,0)</f>
        <v>0</v>
      </c>
      <c r="G618" s="30">
        <f>IF('19. Sewer - Capex Input'!$I101=G$3,'19. Sewer - Capex Input'!$J101,0)</f>
        <v>0</v>
      </c>
      <c r="H618" s="30">
        <f>IF('19. Sewer - Capex Input'!$I101=H$3,'19. Sewer - Capex Input'!$J101,0)</f>
        <v>0</v>
      </c>
    </row>
    <row r="619" spans="2:8">
      <c r="B619" s="152">
        <f t="shared" si="25"/>
        <v>0</v>
      </c>
      <c r="D619" s="30">
        <f>IF('19. Sewer - Capex Input'!$I102=D$3,'19. Sewer - Capex Input'!$J102,0)</f>
        <v>142399.21000000002</v>
      </c>
      <c r="E619" s="30">
        <f>IF('19. Sewer - Capex Input'!$I102=E$3,'19. Sewer - Capex Input'!$J102,0)</f>
        <v>0</v>
      </c>
      <c r="F619" s="30">
        <f>IF('19. Sewer - Capex Input'!$I102=F$3,'19. Sewer - Capex Input'!$J102,0)</f>
        <v>0</v>
      </c>
      <c r="G619" s="30">
        <f>IF('19. Sewer - Capex Input'!$I102=G$3,'19. Sewer - Capex Input'!$J102,0)</f>
        <v>0</v>
      </c>
      <c r="H619" s="30">
        <f>IF('19. Sewer - Capex Input'!$I102=H$3,'19. Sewer - Capex Input'!$J102,0)</f>
        <v>0</v>
      </c>
    </row>
    <row r="620" spans="2:8">
      <c r="B620" s="152">
        <f t="shared" si="25"/>
        <v>0</v>
      </c>
      <c r="D620" s="30">
        <f>IF('19. Sewer - Capex Input'!$I103=D$3,'19. Sewer - Capex Input'!$J103,0)</f>
        <v>24808.75</v>
      </c>
      <c r="E620" s="30">
        <f>IF('19. Sewer - Capex Input'!$I103=E$3,'19. Sewer - Capex Input'!$J103,0)</f>
        <v>0</v>
      </c>
      <c r="F620" s="30">
        <f>IF('19. Sewer - Capex Input'!$I103=F$3,'19. Sewer - Capex Input'!$J103,0)</f>
        <v>0</v>
      </c>
      <c r="G620" s="30">
        <f>IF('19. Sewer - Capex Input'!$I103=G$3,'19. Sewer - Capex Input'!$J103,0)</f>
        <v>0</v>
      </c>
      <c r="H620" s="30">
        <f>IF('19. Sewer - Capex Input'!$I103=H$3,'19. Sewer - Capex Input'!$J103,0)</f>
        <v>0</v>
      </c>
    </row>
    <row r="621" spans="2:8">
      <c r="B621" s="152">
        <f t="shared" si="25"/>
        <v>0</v>
      </c>
      <c r="D621" s="30">
        <f>IF('19. Sewer - Capex Input'!$I104=D$3,'19. Sewer - Capex Input'!$J104,0)</f>
        <v>0</v>
      </c>
      <c r="E621" s="30">
        <f>IF('19. Sewer - Capex Input'!$I104=E$3,'19. Sewer - Capex Input'!$J104,0)</f>
        <v>215000</v>
      </c>
      <c r="F621" s="30">
        <f>IF('19. Sewer - Capex Input'!$I104=F$3,'19. Sewer - Capex Input'!$J104,0)</f>
        <v>0</v>
      </c>
      <c r="G621" s="30">
        <f>IF('19. Sewer - Capex Input'!$I104=G$3,'19. Sewer - Capex Input'!$J104,0)</f>
        <v>0</v>
      </c>
      <c r="H621" s="30">
        <f>IF('19. Sewer - Capex Input'!$I104=H$3,'19. Sewer - Capex Input'!$J104,0)</f>
        <v>0</v>
      </c>
    </row>
    <row r="622" spans="2:8">
      <c r="B622" s="152">
        <f t="shared" si="25"/>
        <v>0</v>
      </c>
      <c r="D622" s="30">
        <f>IF('19. Sewer - Capex Input'!$I105=D$3,'19. Sewer - Capex Input'!$J105,0)</f>
        <v>575003.31999999995</v>
      </c>
      <c r="E622" s="30">
        <f>IF('19. Sewer - Capex Input'!$I105=E$3,'19. Sewer - Capex Input'!$J105,0)</f>
        <v>0</v>
      </c>
      <c r="F622" s="30">
        <f>IF('19. Sewer - Capex Input'!$I105=F$3,'19. Sewer - Capex Input'!$J105,0)</f>
        <v>0</v>
      </c>
      <c r="G622" s="30">
        <f>IF('19. Sewer - Capex Input'!$I105=G$3,'19. Sewer - Capex Input'!$J105,0)</f>
        <v>0</v>
      </c>
      <c r="H622" s="30">
        <f>IF('19. Sewer - Capex Input'!$I105=H$3,'19. Sewer - Capex Input'!$J105,0)</f>
        <v>0</v>
      </c>
    </row>
    <row r="623" spans="2:8">
      <c r="B623" s="152">
        <f t="shared" si="25"/>
        <v>0</v>
      </c>
      <c r="D623" s="30">
        <f>IF('19. Sewer - Capex Input'!$I106=D$3,'19. Sewer - Capex Input'!$J106,0)</f>
        <v>0</v>
      </c>
      <c r="E623" s="30">
        <f>IF('19. Sewer - Capex Input'!$I106=E$3,'19. Sewer - Capex Input'!$J106,0)</f>
        <v>419500.00000000006</v>
      </c>
      <c r="F623" s="30">
        <f>IF('19. Sewer - Capex Input'!$I106=F$3,'19. Sewer - Capex Input'!$J106,0)</f>
        <v>0</v>
      </c>
      <c r="G623" s="30">
        <f>IF('19. Sewer - Capex Input'!$I106=G$3,'19. Sewer - Capex Input'!$J106,0)</f>
        <v>0</v>
      </c>
      <c r="H623" s="30">
        <f>IF('19. Sewer - Capex Input'!$I106=H$3,'19. Sewer - Capex Input'!$J106,0)</f>
        <v>0</v>
      </c>
    </row>
    <row r="624" spans="2:8">
      <c r="B624" s="152">
        <f t="shared" si="25"/>
        <v>0</v>
      </c>
      <c r="D624" s="30">
        <f>IF('19. Sewer - Capex Input'!$I107=D$3,'19. Sewer - Capex Input'!$J107,0)</f>
        <v>0</v>
      </c>
      <c r="E624" s="30">
        <f>IF('19. Sewer - Capex Input'!$I107=E$3,'19. Sewer - Capex Input'!$J107,0)</f>
        <v>0</v>
      </c>
      <c r="F624" s="30">
        <f>IF('19. Sewer - Capex Input'!$I107=F$3,'19. Sewer - Capex Input'!$J107,0)</f>
        <v>450000</v>
      </c>
      <c r="G624" s="30">
        <f>IF('19. Sewer - Capex Input'!$I107=G$3,'19. Sewer - Capex Input'!$J107,0)</f>
        <v>0</v>
      </c>
      <c r="H624" s="30">
        <f>IF('19. Sewer - Capex Input'!$I107=H$3,'19. Sewer - Capex Input'!$J107,0)</f>
        <v>0</v>
      </c>
    </row>
    <row r="625" spans="2:8">
      <c r="B625" s="152">
        <f t="shared" si="25"/>
        <v>0</v>
      </c>
      <c r="D625" s="30">
        <f>IF('19. Sewer - Capex Input'!$I108=D$3,'19. Sewer - Capex Input'!$J108,0)</f>
        <v>0</v>
      </c>
      <c r="E625" s="30">
        <f>IF('19. Sewer - Capex Input'!$I108=E$3,'19. Sewer - Capex Input'!$J108,0)</f>
        <v>0</v>
      </c>
      <c r="F625" s="30">
        <f>IF('19. Sewer - Capex Input'!$I108=F$3,'19. Sewer - Capex Input'!$J108,0)</f>
        <v>0</v>
      </c>
      <c r="G625" s="30">
        <f>IF('19. Sewer - Capex Input'!$I108=G$3,'19. Sewer - Capex Input'!$J108,0)</f>
        <v>450000</v>
      </c>
      <c r="H625" s="30">
        <f>IF('19. Sewer - Capex Input'!$I108=H$3,'19. Sewer - Capex Input'!$J108,0)</f>
        <v>0</v>
      </c>
    </row>
    <row r="626" spans="2:8">
      <c r="B626" s="152">
        <f t="shared" si="25"/>
        <v>0</v>
      </c>
      <c r="D626" s="30">
        <f>IF('19. Sewer - Capex Input'!$I109=D$3,'19. Sewer - Capex Input'!$J109,0)</f>
        <v>0</v>
      </c>
      <c r="E626" s="30">
        <f>IF('19. Sewer - Capex Input'!$I109=E$3,'19. Sewer - Capex Input'!$J109,0)</f>
        <v>0</v>
      </c>
      <c r="F626" s="30">
        <f>IF('19. Sewer - Capex Input'!$I109=F$3,'19. Sewer - Capex Input'!$J109,0)</f>
        <v>0</v>
      </c>
      <c r="G626" s="30">
        <f>IF('19. Sewer - Capex Input'!$I109=G$3,'19. Sewer - Capex Input'!$J109,0)</f>
        <v>0</v>
      </c>
      <c r="H626" s="30">
        <f>IF('19. Sewer - Capex Input'!$I109=H$3,'19. Sewer - Capex Input'!$J109,0)</f>
        <v>450000</v>
      </c>
    </row>
    <row r="627" spans="2:8">
      <c r="B627" s="152">
        <f t="shared" si="25"/>
        <v>0</v>
      </c>
      <c r="D627" s="30">
        <f>IF('19. Sewer - Capex Input'!$I110=D$3,'19. Sewer - Capex Input'!$J110,0)</f>
        <v>495012.7</v>
      </c>
      <c r="E627" s="30">
        <f>IF('19. Sewer - Capex Input'!$I110=E$3,'19. Sewer - Capex Input'!$J110,0)</f>
        <v>0</v>
      </c>
      <c r="F627" s="30">
        <f>IF('19. Sewer - Capex Input'!$I110=F$3,'19. Sewer - Capex Input'!$J110,0)</f>
        <v>0</v>
      </c>
      <c r="G627" s="30">
        <f>IF('19. Sewer - Capex Input'!$I110=G$3,'19. Sewer - Capex Input'!$J110,0)</f>
        <v>0</v>
      </c>
      <c r="H627" s="30">
        <f>IF('19. Sewer - Capex Input'!$I110=H$3,'19. Sewer - Capex Input'!$J110,0)</f>
        <v>0</v>
      </c>
    </row>
    <row r="628" spans="2:8">
      <c r="B628" s="152">
        <f t="shared" si="25"/>
        <v>0</v>
      </c>
      <c r="D628" s="30">
        <f>IF('19. Sewer - Capex Input'!$I111=D$3,'19. Sewer - Capex Input'!$J111,0)</f>
        <v>0</v>
      </c>
      <c r="E628" s="30">
        <f>IF('19. Sewer - Capex Input'!$I111=E$3,'19. Sewer - Capex Input'!$J111,0)</f>
        <v>539000</v>
      </c>
      <c r="F628" s="30">
        <f>IF('19. Sewer - Capex Input'!$I111=F$3,'19. Sewer - Capex Input'!$J111,0)</f>
        <v>0</v>
      </c>
      <c r="G628" s="30">
        <f>IF('19. Sewer - Capex Input'!$I111=G$3,'19. Sewer - Capex Input'!$J111,0)</f>
        <v>0</v>
      </c>
      <c r="H628" s="30">
        <f>IF('19. Sewer - Capex Input'!$I111=H$3,'19. Sewer - Capex Input'!$J111,0)</f>
        <v>0</v>
      </c>
    </row>
    <row r="629" spans="2:8">
      <c r="B629" s="152">
        <f t="shared" si="25"/>
        <v>0</v>
      </c>
      <c r="D629" s="30">
        <f>IF('19. Sewer - Capex Input'!$I112=D$3,'19. Sewer - Capex Input'!$J112,0)</f>
        <v>0</v>
      </c>
      <c r="E629" s="30">
        <f>IF('19. Sewer - Capex Input'!$I112=E$3,'19. Sewer - Capex Input'!$J112,0)</f>
        <v>38133.32</v>
      </c>
      <c r="F629" s="30">
        <f>IF('19. Sewer - Capex Input'!$I112=F$3,'19. Sewer - Capex Input'!$J112,0)</f>
        <v>0</v>
      </c>
      <c r="G629" s="30">
        <f>IF('19. Sewer - Capex Input'!$I112=G$3,'19. Sewer - Capex Input'!$J112,0)</f>
        <v>0</v>
      </c>
      <c r="H629" s="30">
        <f>IF('19. Sewer - Capex Input'!$I112=H$3,'19. Sewer - Capex Input'!$J112,0)</f>
        <v>0</v>
      </c>
    </row>
    <row r="630" spans="2:8">
      <c r="B630" s="152">
        <f t="shared" si="25"/>
        <v>0</v>
      </c>
      <c r="D630" s="30">
        <f>IF('19. Sewer - Capex Input'!$I113=D$3,'19. Sewer - Capex Input'!$J113,0)</f>
        <v>0</v>
      </c>
      <c r="E630" s="30">
        <f>IF('19. Sewer - Capex Input'!$I113=E$3,'19. Sewer - Capex Input'!$J113,0)</f>
        <v>426976</v>
      </c>
      <c r="F630" s="30">
        <f>IF('19. Sewer - Capex Input'!$I113=F$3,'19. Sewer - Capex Input'!$J113,0)</f>
        <v>0</v>
      </c>
      <c r="G630" s="30">
        <f>IF('19. Sewer - Capex Input'!$I113=G$3,'19. Sewer - Capex Input'!$J113,0)</f>
        <v>0</v>
      </c>
      <c r="H630" s="30">
        <f>IF('19. Sewer - Capex Input'!$I113=H$3,'19. Sewer - Capex Input'!$J113,0)</f>
        <v>0</v>
      </c>
    </row>
    <row r="631" spans="2:8">
      <c r="B631" s="152">
        <f t="shared" si="25"/>
        <v>0</v>
      </c>
      <c r="D631" s="30">
        <f>IF('19. Sewer - Capex Input'!$I114=D$3,'19. Sewer - Capex Input'!$J114,0)</f>
        <v>0</v>
      </c>
      <c r="E631" s="30">
        <f>IF('19. Sewer - Capex Input'!$I114=E$3,'19. Sewer - Capex Input'!$J114,0)</f>
        <v>1263686</v>
      </c>
      <c r="F631" s="30">
        <f>IF('19. Sewer - Capex Input'!$I114=F$3,'19. Sewer - Capex Input'!$J114,0)</f>
        <v>0</v>
      </c>
      <c r="G631" s="30">
        <f>IF('19. Sewer - Capex Input'!$I114=G$3,'19. Sewer - Capex Input'!$J114,0)</f>
        <v>0</v>
      </c>
      <c r="H631" s="30">
        <f>IF('19. Sewer - Capex Input'!$I114=H$3,'19. Sewer - Capex Input'!$J114,0)</f>
        <v>0</v>
      </c>
    </row>
    <row r="632" spans="2:8">
      <c r="B632" s="152">
        <f t="shared" si="25"/>
        <v>0</v>
      </c>
      <c r="D632" s="30">
        <f>IF('19. Sewer - Capex Input'!$I115=D$3,'19. Sewer - Capex Input'!$J115,0)</f>
        <v>0</v>
      </c>
      <c r="E632" s="30">
        <f>IF('19. Sewer - Capex Input'!$I115=E$3,'19. Sewer - Capex Input'!$J115,0)</f>
        <v>519200</v>
      </c>
      <c r="F632" s="30">
        <f>IF('19. Sewer - Capex Input'!$I115=F$3,'19. Sewer - Capex Input'!$J115,0)</f>
        <v>0</v>
      </c>
      <c r="G632" s="30">
        <f>IF('19. Sewer - Capex Input'!$I115=G$3,'19. Sewer - Capex Input'!$J115,0)</f>
        <v>0</v>
      </c>
      <c r="H632" s="30">
        <f>IF('19. Sewer - Capex Input'!$I115=H$3,'19. Sewer - Capex Input'!$J115,0)</f>
        <v>0</v>
      </c>
    </row>
    <row r="633" spans="2:8">
      <c r="B633" s="152">
        <f t="shared" si="25"/>
        <v>0</v>
      </c>
      <c r="D633" s="30">
        <f>IF('19. Sewer - Capex Input'!$I116=D$3,'19. Sewer - Capex Input'!$J116,0)</f>
        <v>0</v>
      </c>
      <c r="E633" s="30">
        <f>IF('19. Sewer - Capex Input'!$I116=E$3,'19. Sewer - Capex Input'!$J116,0)</f>
        <v>324500</v>
      </c>
      <c r="F633" s="30">
        <f>IF('19. Sewer - Capex Input'!$I116=F$3,'19. Sewer - Capex Input'!$J116,0)</f>
        <v>0</v>
      </c>
      <c r="G633" s="30">
        <f>IF('19. Sewer - Capex Input'!$I116=G$3,'19. Sewer - Capex Input'!$J116,0)</f>
        <v>0</v>
      </c>
      <c r="H633" s="30">
        <f>IF('19. Sewer - Capex Input'!$I116=H$3,'19. Sewer - Capex Input'!$J116,0)</f>
        <v>0</v>
      </c>
    </row>
    <row r="634" spans="2:8">
      <c r="B634" s="152">
        <f t="shared" si="25"/>
        <v>0</v>
      </c>
      <c r="D634" s="30">
        <f>IF('19. Sewer - Capex Input'!$I117=D$3,'19. Sewer - Capex Input'!$J117,0)</f>
        <v>62433.919999999984</v>
      </c>
      <c r="E634" s="30">
        <f>IF('19. Sewer - Capex Input'!$I117=E$3,'19. Sewer - Capex Input'!$J117,0)</f>
        <v>0</v>
      </c>
      <c r="F634" s="30">
        <f>IF('19. Sewer - Capex Input'!$I117=F$3,'19. Sewer - Capex Input'!$J117,0)</f>
        <v>0</v>
      </c>
      <c r="G634" s="30">
        <f>IF('19. Sewer - Capex Input'!$I117=G$3,'19. Sewer - Capex Input'!$J117,0)</f>
        <v>0</v>
      </c>
      <c r="H634" s="30">
        <f>IF('19. Sewer - Capex Input'!$I117=H$3,'19. Sewer - Capex Input'!$J117,0)</f>
        <v>0</v>
      </c>
    </row>
    <row r="635" spans="2:8">
      <c r="B635" s="152">
        <f t="shared" si="25"/>
        <v>0</v>
      </c>
      <c r="D635" s="30">
        <f>IF('19. Sewer - Capex Input'!$I118=D$3,'19. Sewer - Capex Input'!$J118,0)</f>
        <v>0</v>
      </c>
      <c r="E635" s="30">
        <f>IF('19. Sewer - Capex Input'!$I118=E$3,'19. Sewer - Capex Input'!$J118,0)</f>
        <v>280000</v>
      </c>
      <c r="F635" s="30">
        <f>IF('19. Sewer - Capex Input'!$I118=F$3,'19. Sewer - Capex Input'!$J118,0)</f>
        <v>0</v>
      </c>
      <c r="G635" s="30">
        <f>IF('19. Sewer - Capex Input'!$I118=G$3,'19. Sewer - Capex Input'!$J118,0)</f>
        <v>0</v>
      </c>
      <c r="H635" s="30">
        <f>IF('19. Sewer - Capex Input'!$I118=H$3,'19. Sewer - Capex Input'!$J118,0)</f>
        <v>0</v>
      </c>
    </row>
    <row r="636" spans="2:8">
      <c r="B636" s="152">
        <f t="shared" si="25"/>
        <v>0</v>
      </c>
      <c r="D636" s="30">
        <f>IF('19. Sewer - Capex Input'!$I119=D$3,'19. Sewer - Capex Input'!$J119,0)</f>
        <v>34721.22</v>
      </c>
      <c r="E636" s="30">
        <f>IF('19. Sewer - Capex Input'!$I119=E$3,'19. Sewer - Capex Input'!$J119,0)</f>
        <v>0</v>
      </c>
      <c r="F636" s="30">
        <f>IF('19. Sewer - Capex Input'!$I119=F$3,'19. Sewer - Capex Input'!$J119,0)</f>
        <v>0</v>
      </c>
      <c r="G636" s="30">
        <f>IF('19. Sewer - Capex Input'!$I119=G$3,'19. Sewer - Capex Input'!$J119,0)</f>
        <v>0</v>
      </c>
      <c r="H636" s="30">
        <f>IF('19. Sewer - Capex Input'!$I119=H$3,'19. Sewer - Capex Input'!$J119,0)</f>
        <v>0</v>
      </c>
    </row>
    <row r="637" spans="2:8">
      <c r="B637" s="152">
        <f t="shared" si="25"/>
        <v>0</v>
      </c>
      <c r="D637" s="30">
        <f>IF('19. Sewer - Capex Input'!$I120=D$3,'19. Sewer - Capex Input'!$J120,0)</f>
        <v>4935.79</v>
      </c>
      <c r="E637" s="30">
        <f>IF('19. Sewer - Capex Input'!$I120=E$3,'19. Sewer - Capex Input'!$J120,0)</f>
        <v>0</v>
      </c>
      <c r="F637" s="30">
        <f>IF('19. Sewer - Capex Input'!$I120=F$3,'19. Sewer - Capex Input'!$J120,0)</f>
        <v>0</v>
      </c>
      <c r="G637" s="30">
        <f>IF('19. Sewer - Capex Input'!$I120=G$3,'19. Sewer - Capex Input'!$J120,0)</f>
        <v>0</v>
      </c>
      <c r="H637" s="30">
        <f>IF('19. Sewer - Capex Input'!$I120=H$3,'19. Sewer - Capex Input'!$J120,0)</f>
        <v>0</v>
      </c>
    </row>
    <row r="638" spans="2:8">
      <c r="B638" s="152">
        <f t="shared" si="25"/>
        <v>0</v>
      </c>
      <c r="D638" s="30">
        <f>IF('19. Sewer - Capex Input'!$I121=D$3,'19. Sewer - Capex Input'!$J121,0)</f>
        <v>100924.19000000002</v>
      </c>
      <c r="E638" s="30">
        <f>IF('19. Sewer - Capex Input'!$I121=E$3,'19. Sewer - Capex Input'!$J121,0)</f>
        <v>0</v>
      </c>
      <c r="F638" s="30">
        <f>IF('19. Sewer - Capex Input'!$I121=F$3,'19. Sewer - Capex Input'!$J121,0)</f>
        <v>0</v>
      </c>
      <c r="G638" s="30">
        <f>IF('19. Sewer - Capex Input'!$I121=G$3,'19. Sewer - Capex Input'!$J121,0)</f>
        <v>0</v>
      </c>
      <c r="H638" s="30">
        <f>IF('19. Sewer - Capex Input'!$I121=H$3,'19. Sewer - Capex Input'!$J121,0)</f>
        <v>0</v>
      </c>
    </row>
    <row r="639" spans="2:8">
      <c r="B639" s="152">
        <f t="shared" si="25"/>
        <v>0</v>
      </c>
      <c r="D639" s="30">
        <f>IF('19. Sewer - Capex Input'!$I122=D$3,'19. Sewer - Capex Input'!$J122,0)</f>
        <v>8429.9</v>
      </c>
      <c r="E639" s="30">
        <f>IF('19. Sewer - Capex Input'!$I122=E$3,'19. Sewer - Capex Input'!$J122,0)</f>
        <v>0</v>
      </c>
      <c r="F639" s="30">
        <f>IF('19. Sewer - Capex Input'!$I122=F$3,'19. Sewer - Capex Input'!$J122,0)</f>
        <v>0</v>
      </c>
      <c r="G639" s="30">
        <f>IF('19. Sewer - Capex Input'!$I122=G$3,'19. Sewer - Capex Input'!$J122,0)</f>
        <v>0</v>
      </c>
      <c r="H639" s="30">
        <f>IF('19. Sewer - Capex Input'!$I122=H$3,'19. Sewer - Capex Input'!$J122,0)</f>
        <v>0</v>
      </c>
    </row>
    <row r="640" spans="2:8">
      <c r="B640" s="152">
        <f t="shared" si="25"/>
        <v>0</v>
      </c>
      <c r="D640" s="30">
        <f>IF('19. Sewer - Capex Input'!$I123=D$3,'19. Sewer - Capex Input'!$J123,0)</f>
        <v>35011.80000000001</v>
      </c>
      <c r="E640" s="30">
        <f>IF('19. Sewer - Capex Input'!$I123=E$3,'19. Sewer - Capex Input'!$J123,0)</f>
        <v>0</v>
      </c>
      <c r="F640" s="30">
        <f>IF('19. Sewer - Capex Input'!$I123=F$3,'19. Sewer - Capex Input'!$J123,0)</f>
        <v>0</v>
      </c>
      <c r="G640" s="30">
        <f>IF('19. Sewer - Capex Input'!$I123=G$3,'19. Sewer - Capex Input'!$J123,0)</f>
        <v>0</v>
      </c>
      <c r="H640" s="30">
        <f>IF('19. Sewer - Capex Input'!$I123=H$3,'19. Sewer - Capex Input'!$J123,0)</f>
        <v>0</v>
      </c>
    </row>
    <row r="641" spans="2:8">
      <c r="B641" s="152">
        <f t="shared" si="25"/>
        <v>0</v>
      </c>
      <c r="D641" s="30">
        <f>IF('19. Sewer - Capex Input'!$I124=D$3,'19. Sewer - Capex Input'!$J124,0)</f>
        <v>0</v>
      </c>
      <c r="E641" s="30">
        <f>IF('19. Sewer - Capex Input'!$I124=E$3,'19. Sewer - Capex Input'!$J124,0)</f>
        <v>55000</v>
      </c>
      <c r="F641" s="30">
        <f>IF('19. Sewer - Capex Input'!$I124=F$3,'19. Sewer - Capex Input'!$J124,0)</f>
        <v>0</v>
      </c>
      <c r="G641" s="30">
        <f>IF('19. Sewer - Capex Input'!$I124=G$3,'19. Sewer - Capex Input'!$J124,0)</f>
        <v>0</v>
      </c>
      <c r="H641" s="30">
        <f>IF('19. Sewer - Capex Input'!$I124=H$3,'19. Sewer - Capex Input'!$J124,0)</f>
        <v>0</v>
      </c>
    </row>
    <row r="642" spans="2:8">
      <c r="B642" s="152">
        <f t="shared" si="25"/>
        <v>0</v>
      </c>
      <c r="D642" s="30">
        <f>IF('19. Sewer - Capex Input'!$I125=D$3,'19. Sewer - Capex Input'!$J125,0)</f>
        <v>0</v>
      </c>
      <c r="E642" s="30">
        <f>IF('19. Sewer - Capex Input'!$I125=E$3,'19. Sewer - Capex Input'!$J125,0)</f>
        <v>0</v>
      </c>
      <c r="F642" s="30">
        <f>IF('19. Sewer - Capex Input'!$I125=F$3,'19. Sewer - Capex Input'!$J125,0)</f>
        <v>20000</v>
      </c>
      <c r="G642" s="30">
        <f>IF('19. Sewer - Capex Input'!$I125=G$3,'19. Sewer - Capex Input'!$J125,0)</f>
        <v>0</v>
      </c>
      <c r="H642" s="30">
        <f>IF('19. Sewer - Capex Input'!$I125=H$3,'19. Sewer - Capex Input'!$J125,0)</f>
        <v>0</v>
      </c>
    </row>
    <row r="643" spans="2:8">
      <c r="B643" s="152">
        <f t="shared" si="25"/>
        <v>0</v>
      </c>
      <c r="D643" s="30">
        <f>IF('19. Sewer - Capex Input'!$I126=D$3,'19. Sewer - Capex Input'!$J126,0)</f>
        <v>0</v>
      </c>
      <c r="E643" s="30">
        <f>IF('19. Sewer - Capex Input'!$I126=E$3,'19. Sewer - Capex Input'!$J126,0)</f>
        <v>0</v>
      </c>
      <c r="F643" s="30">
        <f>IF('19. Sewer - Capex Input'!$I126=F$3,'19. Sewer - Capex Input'!$J126,0)</f>
        <v>0</v>
      </c>
      <c r="G643" s="30">
        <f>IF('19. Sewer - Capex Input'!$I126=G$3,'19. Sewer - Capex Input'!$J126,0)</f>
        <v>20000</v>
      </c>
      <c r="H643" s="30">
        <f>IF('19. Sewer - Capex Input'!$I126=H$3,'19. Sewer - Capex Input'!$J126,0)</f>
        <v>0</v>
      </c>
    </row>
    <row r="644" spans="2:8">
      <c r="B644" s="152">
        <f t="shared" si="25"/>
        <v>0</v>
      </c>
      <c r="D644" s="30">
        <f>IF('19. Sewer - Capex Input'!$I127=D$3,'19. Sewer - Capex Input'!$J127,0)</f>
        <v>0</v>
      </c>
      <c r="E644" s="30">
        <f>IF('19. Sewer - Capex Input'!$I127=E$3,'19. Sewer - Capex Input'!$J127,0)</f>
        <v>0</v>
      </c>
      <c r="F644" s="30">
        <f>IF('19. Sewer - Capex Input'!$I127=F$3,'19. Sewer - Capex Input'!$J127,0)</f>
        <v>0</v>
      </c>
      <c r="G644" s="30">
        <f>IF('19. Sewer - Capex Input'!$I127=G$3,'19. Sewer - Capex Input'!$J127,0)</f>
        <v>0</v>
      </c>
      <c r="H644" s="30">
        <f>IF('19. Sewer - Capex Input'!$I127=H$3,'19. Sewer - Capex Input'!$J127,0)</f>
        <v>20000</v>
      </c>
    </row>
    <row r="645" spans="2:8">
      <c r="B645" s="152">
        <f t="shared" si="25"/>
        <v>0</v>
      </c>
      <c r="D645" s="30">
        <f>IF('19. Sewer - Capex Input'!$I128=D$3,'19. Sewer - Capex Input'!$J128,0)</f>
        <v>34427.669999999991</v>
      </c>
      <c r="E645" s="30">
        <f>IF('19. Sewer - Capex Input'!$I128=E$3,'19. Sewer - Capex Input'!$J128,0)</f>
        <v>0</v>
      </c>
      <c r="F645" s="30">
        <f>IF('19. Sewer - Capex Input'!$I128=F$3,'19. Sewer - Capex Input'!$J128,0)</f>
        <v>0</v>
      </c>
      <c r="G645" s="30">
        <f>IF('19. Sewer - Capex Input'!$I128=G$3,'19. Sewer - Capex Input'!$J128,0)</f>
        <v>0</v>
      </c>
      <c r="H645" s="30">
        <f>IF('19. Sewer - Capex Input'!$I128=H$3,'19. Sewer - Capex Input'!$J128,0)</f>
        <v>0</v>
      </c>
    </row>
    <row r="646" spans="2:8">
      <c r="B646" s="152">
        <f t="shared" si="25"/>
        <v>0</v>
      </c>
      <c r="D646" s="30">
        <f>IF('19. Sewer - Capex Input'!$I129=D$3,'19. Sewer - Capex Input'!$J129,0)</f>
        <v>1142818.9100000001</v>
      </c>
      <c r="E646" s="30">
        <f>IF('19. Sewer - Capex Input'!$I129=E$3,'19. Sewer - Capex Input'!$J129,0)</f>
        <v>0</v>
      </c>
      <c r="F646" s="30">
        <f>IF('19. Sewer - Capex Input'!$I129=F$3,'19. Sewer - Capex Input'!$J129,0)</f>
        <v>0</v>
      </c>
      <c r="G646" s="30">
        <f>IF('19. Sewer - Capex Input'!$I129=G$3,'19. Sewer - Capex Input'!$J129,0)</f>
        <v>0</v>
      </c>
      <c r="H646" s="30">
        <f>IF('19. Sewer - Capex Input'!$I129=H$3,'19. Sewer - Capex Input'!$J129,0)</f>
        <v>0</v>
      </c>
    </row>
    <row r="647" spans="2:8">
      <c r="B647" s="152">
        <f t="shared" si="25"/>
        <v>0</v>
      </c>
      <c r="D647" s="30">
        <f>IF('19. Sewer - Capex Input'!$I130=D$3,'19. Sewer - Capex Input'!$J130,0)</f>
        <v>0</v>
      </c>
      <c r="E647" s="30">
        <f>IF('19. Sewer - Capex Input'!$I130=E$3,'19. Sewer - Capex Input'!$J130,0)</f>
        <v>20457</v>
      </c>
      <c r="F647" s="30">
        <f>IF('19. Sewer - Capex Input'!$I130=F$3,'19. Sewer - Capex Input'!$J130,0)</f>
        <v>0</v>
      </c>
      <c r="G647" s="30">
        <f>IF('19. Sewer - Capex Input'!$I130=G$3,'19. Sewer - Capex Input'!$J130,0)</f>
        <v>0</v>
      </c>
      <c r="H647" s="30">
        <f>IF('19. Sewer - Capex Input'!$I130=H$3,'19. Sewer - Capex Input'!$J130,0)</f>
        <v>0</v>
      </c>
    </row>
    <row r="648" spans="2:8">
      <c r="B648" s="152">
        <f t="shared" si="25"/>
        <v>0</v>
      </c>
      <c r="D648" s="30">
        <f>IF('19. Sewer - Capex Input'!$I131=D$3,'19. Sewer - Capex Input'!$J131,0)</f>
        <v>119630.24</v>
      </c>
      <c r="E648" s="30">
        <f>IF('19. Sewer - Capex Input'!$I131=E$3,'19. Sewer - Capex Input'!$J131,0)</f>
        <v>0</v>
      </c>
      <c r="F648" s="30">
        <f>IF('19. Sewer - Capex Input'!$I131=F$3,'19. Sewer - Capex Input'!$J131,0)</f>
        <v>0</v>
      </c>
      <c r="G648" s="30">
        <f>IF('19. Sewer - Capex Input'!$I131=G$3,'19. Sewer - Capex Input'!$J131,0)</f>
        <v>0</v>
      </c>
      <c r="H648" s="30">
        <f>IF('19. Sewer - Capex Input'!$I131=H$3,'19. Sewer - Capex Input'!$J131,0)</f>
        <v>0</v>
      </c>
    </row>
    <row r="649" spans="2:8">
      <c r="B649" s="152">
        <f t="shared" si="25"/>
        <v>0</v>
      </c>
      <c r="D649" s="30">
        <f>IF('19. Sewer - Capex Input'!$I132=D$3,'19. Sewer - Capex Input'!$J132,0)</f>
        <v>0</v>
      </c>
      <c r="E649" s="30">
        <f>IF('19. Sewer - Capex Input'!$I132=E$3,'19. Sewer - Capex Input'!$J132,0)</f>
        <v>39866</v>
      </c>
      <c r="F649" s="30">
        <f>IF('19. Sewer - Capex Input'!$I132=F$3,'19. Sewer - Capex Input'!$J132,0)</f>
        <v>0</v>
      </c>
      <c r="G649" s="30">
        <f>IF('19. Sewer - Capex Input'!$I132=G$3,'19. Sewer - Capex Input'!$J132,0)</f>
        <v>0</v>
      </c>
      <c r="H649" s="30">
        <f>IF('19. Sewer - Capex Input'!$I132=H$3,'19. Sewer - Capex Input'!$J132,0)</f>
        <v>0</v>
      </c>
    </row>
    <row r="650" spans="2:8">
      <c r="B650" s="152">
        <f t="shared" si="25"/>
        <v>0</v>
      </c>
      <c r="D650" s="30">
        <f>IF('19. Sewer - Capex Input'!$I133=D$3,'19. Sewer - Capex Input'!$J133,0)</f>
        <v>0</v>
      </c>
      <c r="E650" s="30">
        <f>IF('19. Sewer - Capex Input'!$I133=E$3,'19. Sewer - Capex Input'!$J133,0)</f>
        <v>1040937</v>
      </c>
      <c r="F650" s="30">
        <f>IF('19. Sewer - Capex Input'!$I133=F$3,'19. Sewer - Capex Input'!$J133,0)</f>
        <v>0</v>
      </c>
      <c r="G650" s="30">
        <f>IF('19. Sewer - Capex Input'!$I133=G$3,'19. Sewer - Capex Input'!$J133,0)</f>
        <v>0</v>
      </c>
      <c r="H650" s="30">
        <f>IF('19. Sewer - Capex Input'!$I133=H$3,'19. Sewer - Capex Input'!$J133,0)</f>
        <v>0</v>
      </c>
    </row>
    <row r="651" spans="2:8">
      <c r="B651" s="152">
        <f t="shared" ref="B651:B684" si="26">B484</f>
        <v>0</v>
      </c>
      <c r="D651" s="30">
        <f>IF('19. Sewer - Capex Input'!$I134=D$3,'19. Sewer - Capex Input'!$J134,0)</f>
        <v>123723.69</v>
      </c>
      <c r="E651" s="30">
        <f>IF('19. Sewer - Capex Input'!$I134=E$3,'19. Sewer - Capex Input'!$J134,0)</f>
        <v>0</v>
      </c>
      <c r="F651" s="30">
        <f>IF('19. Sewer - Capex Input'!$I134=F$3,'19. Sewer - Capex Input'!$J134,0)</f>
        <v>0</v>
      </c>
      <c r="G651" s="30">
        <f>IF('19. Sewer - Capex Input'!$I134=G$3,'19. Sewer - Capex Input'!$J134,0)</f>
        <v>0</v>
      </c>
      <c r="H651" s="30">
        <f>IF('19. Sewer - Capex Input'!$I134=H$3,'19. Sewer - Capex Input'!$J134,0)</f>
        <v>0</v>
      </c>
    </row>
    <row r="652" spans="2:8">
      <c r="B652" s="152">
        <f t="shared" si="26"/>
        <v>0</v>
      </c>
      <c r="D652" s="30">
        <f>IF('19. Sewer - Capex Input'!$I135=D$3,'19. Sewer - Capex Input'!$J135,0)</f>
        <v>0</v>
      </c>
      <c r="E652" s="30">
        <f>IF('19. Sewer - Capex Input'!$I135=E$3,'19. Sewer - Capex Input'!$J135,0)</f>
        <v>944612.34</v>
      </c>
      <c r="F652" s="30">
        <f>IF('19. Sewer - Capex Input'!$I135=F$3,'19. Sewer - Capex Input'!$J135,0)</f>
        <v>0</v>
      </c>
      <c r="G652" s="30">
        <f>IF('19. Sewer - Capex Input'!$I135=G$3,'19. Sewer - Capex Input'!$J135,0)</f>
        <v>0</v>
      </c>
      <c r="H652" s="30">
        <f>IF('19. Sewer - Capex Input'!$I135=H$3,'19. Sewer - Capex Input'!$J135,0)</f>
        <v>0</v>
      </c>
    </row>
    <row r="653" spans="2:8">
      <c r="B653" s="152">
        <f t="shared" si="26"/>
        <v>0</v>
      </c>
      <c r="D653" s="30">
        <f>IF('19. Sewer - Capex Input'!$I136=D$3,'19. Sewer - Capex Input'!$J136,0)</f>
        <v>0</v>
      </c>
      <c r="E653" s="30">
        <f>IF('19. Sewer - Capex Input'!$I136=E$3,'19. Sewer - Capex Input'!$J136,0)</f>
        <v>0</v>
      </c>
      <c r="F653" s="30">
        <f>IF('19. Sewer - Capex Input'!$I136=F$3,'19. Sewer - Capex Input'!$J136,0)</f>
        <v>37695</v>
      </c>
      <c r="G653" s="30">
        <f>IF('19. Sewer - Capex Input'!$I136=G$3,'19. Sewer - Capex Input'!$J136,0)</f>
        <v>0</v>
      </c>
      <c r="H653" s="30">
        <f>IF('19. Sewer - Capex Input'!$I136=H$3,'19. Sewer - Capex Input'!$J136,0)</f>
        <v>0</v>
      </c>
    </row>
    <row r="654" spans="2:8">
      <c r="B654" s="152">
        <f t="shared" si="26"/>
        <v>0</v>
      </c>
      <c r="D654" s="30">
        <f>IF('19. Sewer - Capex Input'!$I137=D$3,'19. Sewer - Capex Input'!$J137,0)</f>
        <v>40482.17</v>
      </c>
      <c r="E654" s="30">
        <f>IF('19. Sewer - Capex Input'!$I137=E$3,'19. Sewer - Capex Input'!$J137,0)</f>
        <v>0</v>
      </c>
      <c r="F654" s="30">
        <f>IF('19. Sewer - Capex Input'!$I137=F$3,'19. Sewer - Capex Input'!$J137,0)</f>
        <v>0</v>
      </c>
      <c r="G654" s="30">
        <f>IF('19. Sewer - Capex Input'!$I137=G$3,'19. Sewer - Capex Input'!$J137,0)</f>
        <v>0</v>
      </c>
      <c r="H654" s="30">
        <f>IF('19. Sewer - Capex Input'!$I137=H$3,'19. Sewer - Capex Input'!$J137,0)</f>
        <v>0</v>
      </c>
    </row>
    <row r="655" spans="2:8">
      <c r="B655" s="152">
        <f t="shared" si="26"/>
        <v>0</v>
      </c>
      <c r="D655" s="30">
        <f>IF('19. Sewer - Capex Input'!$I138=D$3,'19. Sewer - Capex Input'!$J138,0)</f>
        <v>102915.89</v>
      </c>
      <c r="E655" s="30">
        <f>IF('19. Sewer - Capex Input'!$I138=E$3,'19. Sewer - Capex Input'!$J138,0)</f>
        <v>0</v>
      </c>
      <c r="F655" s="30">
        <f>IF('19. Sewer - Capex Input'!$I138=F$3,'19. Sewer - Capex Input'!$J138,0)</f>
        <v>0</v>
      </c>
      <c r="G655" s="30">
        <f>IF('19. Sewer - Capex Input'!$I138=G$3,'19. Sewer - Capex Input'!$J138,0)</f>
        <v>0</v>
      </c>
      <c r="H655" s="30">
        <f>IF('19. Sewer - Capex Input'!$I138=H$3,'19. Sewer - Capex Input'!$J138,0)</f>
        <v>0</v>
      </c>
    </row>
    <row r="656" spans="2:8">
      <c r="B656" s="152">
        <f t="shared" si="26"/>
        <v>0</v>
      </c>
      <c r="D656" s="30">
        <f>IF('19. Sewer - Capex Input'!$I139=D$3,'19. Sewer - Capex Input'!$J139,0)</f>
        <v>802585.97999999952</v>
      </c>
      <c r="E656" s="30">
        <f>IF('19. Sewer - Capex Input'!$I139=E$3,'19. Sewer - Capex Input'!$J139,0)</f>
        <v>0</v>
      </c>
      <c r="F656" s="30">
        <f>IF('19. Sewer - Capex Input'!$I139=F$3,'19. Sewer - Capex Input'!$J139,0)</f>
        <v>0</v>
      </c>
      <c r="G656" s="30">
        <f>IF('19. Sewer - Capex Input'!$I139=G$3,'19. Sewer - Capex Input'!$J139,0)</f>
        <v>0</v>
      </c>
      <c r="H656" s="30">
        <f>IF('19. Sewer - Capex Input'!$I139=H$3,'19. Sewer - Capex Input'!$J139,0)</f>
        <v>0</v>
      </c>
    </row>
    <row r="657" spans="2:8">
      <c r="B657" s="152">
        <f t="shared" si="26"/>
        <v>0</v>
      </c>
      <c r="D657" s="30">
        <f>IF('19. Sewer - Capex Input'!$I140=D$3,'19. Sewer - Capex Input'!$J140,0)</f>
        <v>0</v>
      </c>
      <c r="E657" s="30">
        <f>IF('19. Sewer - Capex Input'!$I140=E$3,'19. Sewer - Capex Input'!$J140,0)</f>
        <v>1206590.6599999999</v>
      </c>
      <c r="F657" s="30">
        <f>IF('19. Sewer - Capex Input'!$I140=F$3,'19. Sewer - Capex Input'!$J140,0)</f>
        <v>0</v>
      </c>
      <c r="G657" s="30">
        <f>IF('19. Sewer - Capex Input'!$I140=G$3,'19. Sewer - Capex Input'!$J140,0)</f>
        <v>0</v>
      </c>
      <c r="H657" s="30">
        <f>IF('19. Sewer - Capex Input'!$I140=H$3,'19. Sewer - Capex Input'!$J140,0)</f>
        <v>0</v>
      </c>
    </row>
    <row r="658" spans="2:8">
      <c r="B658" s="152">
        <f t="shared" si="26"/>
        <v>0</v>
      </c>
      <c r="D658" s="30">
        <f>IF('19. Sewer - Capex Input'!$I141=D$3,'19. Sewer - Capex Input'!$J141,0)</f>
        <v>0</v>
      </c>
      <c r="E658" s="30">
        <f>IF('19. Sewer - Capex Input'!$I141=E$3,'19. Sewer - Capex Input'!$J141,0)</f>
        <v>0</v>
      </c>
      <c r="F658" s="30">
        <f>IF('19. Sewer - Capex Input'!$I141=F$3,'19. Sewer - Capex Input'!$J141,0)</f>
        <v>617914</v>
      </c>
      <c r="G658" s="30">
        <f>IF('19. Sewer - Capex Input'!$I141=G$3,'19. Sewer - Capex Input'!$J141,0)</f>
        <v>0</v>
      </c>
      <c r="H658" s="30">
        <f>IF('19. Sewer - Capex Input'!$I141=H$3,'19. Sewer - Capex Input'!$J141,0)</f>
        <v>0</v>
      </c>
    </row>
    <row r="659" spans="2:8">
      <c r="B659" s="152">
        <f t="shared" si="26"/>
        <v>0</v>
      </c>
      <c r="D659" s="30">
        <f>IF('19. Sewer - Capex Input'!$I142=D$3,'19. Sewer - Capex Input'!$J142,0)</f>
        <v>10505.66</v>
      </c>
      <c r="E659" s="30">
        <f>IF('19. Sewer - Capex Input'!$I142=E$3,'19. Sewer - Capex Input'!$J142,0)</f>
        <v>0</v>
      </c>
      <c r="F659" s="30">
        <f>IF('19. Sewer - Capex Input'!$I142=F$3,'19. Sewer - Capex Input'!$J142,0)</f>
        <v>0</v>
      </c>
      <c r="G659" s="30">
        <f>IF('19. Sewer - Capex Input'!$I142=G$3,'19. Sewer - Capex Input'!$J142,0)</f>
        <v>0</v>
      </c>
      <c r="H659" s="30">
        <f>IF('19. Sewer - Capex Input'!$I142=H$3,'19. Sewer - Capex Input'!$J142,0)</f>
        <v>0</v>
      </c>
    </row>
    <row r="660" spans="2:8">
      <c r="B660" s="152">
        <f t="shared" si="26"/>
        <v>0</v>
      </c>
      <c r="D660" s="30">
        <f>IF('19. Sewer - Capex Input'!$I143=D$3,'19. Sewer - Capex Input'!$J143,0)</f>
        <v>0</v>
      </c>
      <c r="E660" s="30">
        <f>IF('19. Sewer - Capex Input'!$I143=E$3,'19. Sewer - Capex Input'!$J143,0)</f>
        <v>225421</v>
      </c>
      <c r="F660" s="30">
        <f>IF('19. Sewer - Capex Input'!$I143=F$3,'19. Sewer - Capex Input'!$J143,0)</f>
        <v>0</v>
      </c>
      <c r="G660" s="30">
        <f>IF('19. Sewer - Capex Input'!$I143=G$3,'19. Sewer - Capex Input'!$J143,0)</f>
        <v>0</v>
      </c>
      <c r="H660" s="30">
        <f>IF('19. Sewer - Capex Input'!$I143=H$3,'19. Sewer - Capex Input'!$J143,0)</f>
        <v>0</v>
      </c>
    </row>
    <row r="661" spans="2:8">
      <c r="B661" s="152">
        <f t="shared" si="26"/>
        <v>0</v>
      </c>
      <c r="D661" s="30">
        <f>IF('19. Sewer - Capex Input'!$I144=D$3,'19. Sewer - Capex Input'!$J144,0)</f>
        <v>0</v>
      </c>
      <c r="E661" s="30">
        <f>IF('19. Sewer - Capex Input'!$I144=E$3,'19. Sewer - Capex Input'!$J144,0)</f>
        <v>567274.11</v>
      </c>
      <c r="F661" s="30">
        <f>IF('19. Sewer - Capex Input'!$I144=F$3,'19. Sewer - Capex Input'!$J144,0)</f>
        <v>0</v>
      </c>
      <c r="G661" s="30">
        <f>IF('19. Sewer - Capex Input'!$I144=G$3,'19. Sewer - Capex Input'!$J144,0)</f>
        <v>0</v>
      </c>
      <c r="H661" s="30">
        <f>IF('19. Sewer - Capex Input'!$I144=H$3,'19. Sewer - Capex Input'!$J144,0)</f>
        <v>0</v>
      </c>
    </row>
    <row r="662" spans="2:8">
      <c r="B662" s="152">
        <f t="shared" si="26"/>
        <v>0</v>
      </c>
      <c r="D662" s="30">
        <f>IF('19. Sewer - Capex Input'!$I145=D$3,'19. Sewer - Capex Input'!$J145,0)</f>
        <v>0</v>
      </c>
      <c r="E662" s="30">
        <f>IF('19. Sewer - Capex Input'!$I145=E$3,'19. Sewer - Capex Input'!$J145,0)</f>
        <v>0</v>
      </c>
      <c r="F662" s="30">
        <f>IF('19. Sewer - Capex Input'!$I145=F$3,'19. Sewer - Capex Input'!$J145,0)</f>
        <v>5315835</v>
      </c>
      <c r="G662" s="30">
        <f>IF('19. Sewer - Capex Input'!$I145=G$3,'19. Sewer - Capex Input'!$J145,0)</f>
        <v>0</v>
      </c>
      <c r="H662" s="30">
        <f>IF('19. Sewer - Capex Input'!$I145=H$3,'19. Sewer - Capex Input'!$J145,0)</f>
        <v>0</v>
      </c>
    </row>
    <row r="663" spans="2:8">
      <c r="B663" s="152">
        <f t="shared" si="26"/>
        <v>0</v>
      </c>
      <c r="D663" s="30">
        <f>IF('19. Sewer - Capex Input'!$I146=D$3,'19. Sewer - Capex Input'!$J146,0)</f>
        <v>0</v>
      </c>
      <c r="E663" s="30">
        <f>IF('19. Sewer - Capex Input'!$I146=E$3,'19. Sewer - Capex Input'!$J146,0)</f>
        <v>0</v>
      </c>
      <c r="F663" s="30">
        <f>IF('19. Sewer - Capex Input'!$I146=F$3,'19. Sewer - Capex Input'!$J146,0)</f>
        <v>0</v>
      </c>
      <c r="G663" s="30">
        <f>IF('19. Sewer - Capex Input'!$I146=G$3,'19. Sewer - Capex Input'!$J146,0)</f>
        <v>12805725</v>
      </c>
      <c r="H663" s="30">
        <f>IF('19. Sewer - Capex Input'!$I146=H$3,'19. Sewer - Capex Input'!$J146,0)</f>
        <v>0</v>
      </c>
    </row>
    <row r="664" spans="2:8">
      <c r="B664" s="152">
        <f t="shared" si="26"/>
        <v>0</v>
      </c>
      <c r="D664" s="30">
        <f>IF('19. Sewer - Capex Input'!$I147=D$3,'19. Sewer - Capex Input'!$J147,0)</f>
        <v>0</v>
      </c>
      <c r="E664" s="30">
        <f>IF('19. Sewer - Capex Input'!$I147=E$3,'19. Sewer - Capex Input'!$J147,0)</f>
        <v>67500</v>
      </c>
      <c r="F664" s="30">
        <f>IF('19. Sewer - Capex Input'!$I147=F$3,'19. Sewer - Capex Input'!$J147,0)</f>
        <v>0</v>
      </c>
      <c r="G664" s="30">
        <f>IF('19. Sewer - Capex Input'!$I147=G$3,'19. Sewer - Capex Input'!$J147,0)</f>
        <v>0</v>
      </c>
      <c r="H664" s="30">
        <f>IF('19. Sewer - Capex Input'!$I147=H$3,'19. Sewer - Capex Input'!$J147,0)</f>
        <v>0</v>
      </c>
    </row>
    <row r="665" spans="2:8">
      <c r="B665" s="152">
        <f t="shared" si="26"/>
        <v>0</v>
      </c>
      <c r="D665" s="30">
        <f>IF('19. Sewer - Capex Input'!$I148=D$3,'19. Sewer - Capex Input'!$J148,0)</f>
        <v>0</v>
      </c>
      <c r="E665" s="30">
        <f>IF('19. Sewer - Capex Input'!$I148=E$3,'19. Sewer - Capex Input'!$J148,0)</f>
        <v>758332.5</v>
      </c>
      <c r="F665" s="30">
        <f>IF('19. Sewer - Capex Input'!$I148=F$3,'19. Sewer - Capex Input'!$J148,0)</f>
        <v>0</v>
      </c>
      <c r="G665" s="30">
        <f>IF('19. Sewer - Capex Input'!$I148=G$3,'19. Sewer - Capex Input'!$J148,0)</f>
        <v>0</v>
      </c>
      <c r="H665" s="30">
        <f>IF('19. Sewer - Capex Input'!$I148=H$3,'19. Sewer - Capex Input'!$J148,0)</f>
        <v>0</v>
      </c>
    </row>
    <row r="666" spans="2:8">
      <c r="B666" s="152" t="str">
        <f t="shared" si="26"/>
        <v>Carndo Year 4 Reduction</v>
      </c>
      <c r="D666" s="30">
        <f>IF('19. Sewer - Capex Input'!$I149=D$3,'19. Sewer - Capex Input'!$J149,0)</f>
        <v>0</v>
      </c>
      <c r="E666" s="30">
        <f>IF('19. Sewer - Capex Input'!$I149=E$3,'19. Sewer - Capex Input'!$J149,0)</f>
        <v>0</v>
      </c>
      <c r="F666" s="30">
        <f>IF('19. Sewer - Capex Input'!$I149=F$3,'19. Sewer - Capex Input'!$J149,0)</f>
        <v>0</v>
      </c>
      <c r="G666" s="30">
        <f>IF('19. Sewer - Capex Input'!$I149=G$3,'19. Sewer - Capex Input'!$J149,0)</f>
        <v>-7919158.6945932349</v>
      </c>
      <c r="H666" s="30">
        <f>IF('19. Sewer - Capex Input'!$I149=H$3,'19. Sewer - Capex Input'!$J149,0)</f>
        <v>0</v>
      </c>
    </row>
    <row r="667" spans="2:8">
      <c r="B667" s="152" t="str">
        <f t="shared" si="26"/>
        <v>Carndo Year 5 Reduction</v>
      </c>
      <c r="D667" s="30">
        <f>IF('19. Sewer - Capex Input'!$I150=D$3,'19. Sewer - Capex Input'!$J150,0)</f>
        <v>0</v>
      </c>
      <c r="E667" s="30">
        <f>IF('19. Sewer - Capex Input'!$I150=E$3,'19. Sewer - Capex Input'!$J150,0)</f>
        <v>0</v>
      </c>
      <c r="F667" s="30">
        <f>IF('19. Sewer - Capex Input'!$I150=F$3,'19. Sewer - Capex Input'!$J150,0)</f>
        <v>0</v>
      </c>
      <c r="G667" s="30">
        <f>IF('19. Sewer - Capex Input'!$I150=G$3,'19. Sewer - Capex Input'!$J150,0)</f>
        <v>0</v>
      </c>
      <c r="H667" s="30">
        <f>IF('19. Sewer - Capex Input'!$I150=H$3,'19. Sewer - Capex Input'!$J150,0)</f>
        <v>-6245743.3486538343</v>
      </c>
    </row>
    <row r="668" spans="2:8">
      <c r="B668" s="152">
        <f t="shared" si="26"/>
        <v>0</v>
      </c>
      <c r="D668" s="30">
        <f>IF('19. Sewer - Capex Input'!$I151=D$3,'19. Sewer - Capex Input'!$J151,0)</f>
        <v>0</v>
      </c>
      <c r="E668" s="30">
        <f>IF('19. Sewer - Capex Input'!$I151=E$3,'19. Sewer - Capex Input'!$J151,0)</f>
        <v>0</v>
      </c>
      <c r="F668" s="30">
        <f>IF('19. Sewer - Capex Input'!$I151=F$3,'19. Sewer - Capex Input'!$J151,0)</f>
        <v>0</v>
      </c>
      <c r="G668" s="30">
        <f>IF('19. Sewer - Capex Input'!$I151=G$3,'19. Sewer - Capex Input'!$J151,0)</f>
        <v>0</v>
      </c>
      <c r="H668" s="30">
        <f>IF('19. Sewer - Capex Input'!$I151=H$3,'19. Sewer - Capex Input'!$J151,0)</f>
        <v>0</v>
      </c>
    </row>
    <row r="669" spans="2:8">
      <c r="B669" s="152">
        <f t="shared" si="26"/>
        <v>0</v>
      </c>
      <c r="D669" s="30">
        <f>IF('19. Sewer - Capex Input'!$I152=D$3,'19. Sewer - Capex Input'!$J152,0)</f>
        <v>0</v>
      </c>
      <c r="E669" s="30">
        <f>IF('19. Sewer - Capex Input'!$I152=E$3,'19. Sewer - Capex Input'!$J152,0)</f>
        <v>0</v>
      </c>
      <c r="F669" s="30">
        <f>IF('19. Sewer - Capex Input'!$I152=F$3,'19. Sewer - Capex Input'!$J152,0)</f>
        <v>0</v>
      </c>
      <c r="G669" s="30">
        <f>IF('19. Sewer - Capex Input'!$I152=G$3,'19. Sewer - Capex Input'!$J152,0)</f>
        <v>0</v>
      </c>
      <c r="H669" s="30">
        <f>IF('19. Sewer - Capex Input'!$I152=H$3,'19. Sewer - Capex Input'!$J152,0)</f>
        <v>0</v>
      </c>
    </row>
    <row r="670" spans="2:8">
      <c r="B670" s="152">
        <f t="shared" si="26"/>
        <v>0</v>
      </c>
      <c r="D670" s="30">
        <f>IF('19. Sewer - Capex Input'!$I153=D$3,'19. Sewer - Capex Input'!$J153,0)</f>
        <v>0</v>
      </c>
      <c r="E670" s="30">
        <f>IF('19. Sewer - Capex Input'!$I153=E$3,'19. Sewer - Capex Input'!$J153,0)</f>
        <v>0</v>
      </c>
      <c r="F670" s="30">
        <f>IF('19. Sewer - Capex Input'!$I153=F$3,'19. Sewer - Capex Input'!$J153,0)</f>
        <v>0</v>
      </c>
      <c r="G670" s="30">
        <f>IF('19. Sewer - Capex Input'!$I153=G$3,'19. Sewer - Capex Input'!$J153,0)</f>
        <v>0</v>
      </c>
      <c r="H670" s="30">
        <f>IF('19. Sewer - Capex Input'!$I153=H$3,'19. Sewer - Capex Input'!$J153,0)</f>
        <v>0</v>
      </c>
    </row>
    <row r="671" spans="2:8">
      <c r="B671" s="152">
        <f t="shared" si="26"/>
        <v>0</v>
      </c>
      <c r="D671" s="30">
        <f>IF('19. Sewer - Capex Input'!$I154=D$3,'19. Sewer - Capex Input'!$J154,0)</f>
        <v>0</v>
      </c>
      <c r="E671" s="30">
        <f>IF('19. Sewer - Capex Input'!$I154=E$3,'19. Sewer - Capex Input'!$J154,0)</f>
        <v>0</v>
      </c>
      <c r="F671" s="30">
        <f>IF('19. Sewer - Capex Input'!$I154=F$3,'19. Sewer - Capex Input'!$J154,0)</f>
        <v>0</v>
      </c>
      <c r="G671" s="30">
        <f>IF('19. Sewer - Capex Input'!$I154=G$3,'19. Sewer - Capex Input'!$J154,0)</f>
        <v>0</v>
      </c>
      <c r="H671" s="30">
        <f>IF('19. Sewer - Capex Input'!$I154=H$3,'19. Sewer - Capex Input'!$J154,0)</f>
        <v>0</v>
      </c>
    </row>
    <row r="672" spans="2:8">
      <c r="B672" s="152">
        <f t="shared" si="26"/>
        <v>0</v>
      </c>
      <c r="D672" s="30">
        <f>IF('19. Sewer - Capex Input'!$I155=D$3,'19. Sewer - Capex Input'!$J155,0)</f>
        <v>0</v>
      </c>
      <c r="E672" s="30">
        <f>IF('19. Sewer - Capex Input'!$I155=E$3,'19. Sewer - Capex Input'!$J155,0)</f>
        <v>0</v>
      </c>
      <c r="F672" s="30">
        <f>IF('19. Sewer - Capex Input'!$I155=F$3,'19. Sewer - Capex Input'!$J155,0)</f>
        <v>0</v>
      </c>
      <c r="G672" s="30">
        <f>IF('19. Sewer - Capex Input'!$I155=G$3,'19. Sewer - Capex Input'!$J155,0)</f>
        <v>0</v>
      </c>
      <c r="H672" s="30">
        <f>IF('19. Sewer - Capex Input'!$I155=H$3,'19. Sewer - Capex Input'!$J155,0)</f>
        <v>0</v>
      </c>
    </row>
    <row r="673" spans="2:8">
      <c r="B673" s="152">
        <f t="shared" si="26"/>
        <v>0</v>
      </c>
      <c r="D673" s="30">
        <f>IF('19. Sewer - Capex Input'!$I156=D$3,'19. Sewer - Capex Input'!$J156,0)</f>
        <v>0</v>
      </c>
      <c r="E673" s="30">
        <f>IF('19. Sewer - Capex Input'!$I156=E$3,'19. Sewer - Capex Input'!$J156,0)</f>
        <v>0</v>
      </c>
      <c r="F673" s="30">
        <f>IF('19. Sewer - Capex Input'!$I156=F$3,'19. Sewer - Capex Input'!$J156,0)</f>
        <v>0</v>
      </c>
      <c r="G673" s="30">
        <f>IF('19. Sewer - Capex Input'!$I156=G$3,'19. Sewer - Capex Input'!$J156,0)</f>
        <v>0</v>
      </c>
      <c r="H673" s="30">
        <f>IF('19. Sewer - Capex Input'!$I156=H$3,'19. Sewer - Capex Input'!$J156,0)</f>
        <v>0</v>
      </c>
    </row>
    <row r="674" spans="2:8">
      <c r="B674" s="152">
        <f t="shared" si="26"/>
        <v>0</v>
      </c>
      <c r="D674" s="30">
        <f>IF('19. Sewer - Capex Input'!$I157=D$3,'19. Sewer - Capex Input'!$J157,0)</f>
        <v>0</v>
      </c>
      <c r="E674" s="30">
        <f>IF('19. Sewer - Capex Input'!$I157=E$3,'19. Sewer - Capex Input'!$J157,0)</f>
        <v>0</v>
      </c>
      <c r="F674" s="30">
        <f>IF('19. Sewer - Capex Input'!$I157=F$3,'19. Sewer - Capex Input'!$J157,0)</f>
        <v>0</v>
      </c>
      <c r="G674" s="30">
        <f>IF('19. Sewer - Capex Input'!$I157=G$3,'19. Sewer - Capex Input'!$J157,0)</f>
        <v>0</v>
      </c>
      <c r="H674" s="30">
        <f>IF('19. Sewer - Capex Input'!$I157=H$3,'19. Sewer - Capex Input'!$J157,0)</f>
        <v>0</v>
      </c>
    </row>
    <row r="675" spans="2:8">
      <c r="B675" s="152">
        <f t="shared" si="26"/>
        <v>0</v>
      </c>
      <c r="D675" s="30">
        <f>IF('19. Sewer - Capex Input'!$I158=D$3,'19. Sewer - Capex Input'!$J158,0)</f>
        <v>0</v>
      </c>
      <c r="E675" s="30">
        <f>IF('19. Sewer - Capex Input'!$I158=E$3,'19. Sewer - Capex Input'!$J158,0)</f>
        <v>0</v>
      </c>
      <c r="F675" s="30">
        <f>IF('19. Sewer - Capex Input'!$I158=F$3,'19. Sewer - Capex Input'!$J158,0)</f>
        <v>0</v>
      </c>
      <c r="G675" s="30">
        <f>IF('19. Sewer - Capex Input'!$I158=G$3,'19. Sewer - Capex Input'!$J158,0)</f>
        <v>0</v>
      </c>
      <c r="H675" s="30">
        <f>IF('19. Sewer - Capex Input'!$I158=H$3,'19. Sewer - Capex Input'!$J158,0)</f>
        <v>0</v>
      </c>
    </row>
    <row r="676" spans="2:8">
      <c r="B676" s="152">
        <f t="shared" si="26"/>
        <v>0</v>
      </c>
      <c r="D676" s="30">
        <f>IF('19. Sewer - Capex Input'!$I159=D$3,'19. Sewer - Capex Input'!$J159,0)</f>
        <v>0</v>
      </c>
      <c r="E676" s="30">
        <f>IF('19. Sewer - Capex Input'!$I159=E$3,'19. Sewer - Capex Input'!$J159,0)</f>
        <v>0</v>
      </c>
      <c r="F676" s="30">
        <f>IF('19. Sewer - Capex Input'!$I159=F$3,'19. Sewer - Capex Input'!$J159,0)</f>
        <v>0</v>
      </c>
      <c r="G676" s="30">
        <f>IF('19. Sewer - Capex Input'!$I159=G$3,'19. Sewer - Capex Input'!$J159,0)</f>
        <v>0</v>
      </c>
      <c r="H676" s="30">
        <f>IF('19. Sewer - Capex Input'!$I159=H$3,'19. Sewer - Capex Input'!$J159,0)</f>
        <v>0</v>
      </c>
    </row>
    <row r="677" spans="2:8">
      <c r="B677" s="152">
        <f t="shared" si="26"/>
        <v>0</v>
      </c>
      <c r="D677" s="30">
        <f>IF('19. Sewer - Capex Input'!$I160=D$3,'19. Sewer - Capex Input'!$J160,0)</f>
        <v>0</v>
      </c>
      <c r="E677" s="30">
        <f>IF('19. Sewer - Capex Input'!$I160=E$3,'19. Sewer - Capex Input'!$J160,0)</f>
        <v>0</v>
      </c>
      <c r="F677" s="30">
        <f>IF('19. Sewer - Capex Input'!$I160=F$3,'19. Sewer - Capex Input'!$J160,0)</f>
        <v>0</v>
      </c>
      <c r="G677" s="30">
        <f>IF('19. Sewer - Capex Input'!$I160=G$3,'19. Sewer - Capex Input'!$J160,0)</f>
        <v>0</v>
      </c>
      <c r="H677" s="30">
        <f>IF('19. Sewer - Capex Input'!$I160=H$3,'19. Sewer - Capex Input'!$J160,0)</f>
        <v>0</v>
      </c>
    </row>
    <row r="678" spans="2:8">
      <c r="B678" s="152">
        <f t="shared" si="26"/>
        <v>0</v>
      </c>
      <c r="D678" s="30">
        <f>IF('19. Sewer - Capex Input'!$I161=D$3,'19. Sewer - Capex Input'!$J161,0)</f>
        <v>0</v>
      </c>
      <c r="E678" s="30">
        <f>IF('19. Sewer - Capex Input'!$I161=E$3,'19. Sewer - Capex Input'!$J161,0)</f>
        <v>0</v>
      </c>
      <c r="F678" s="30">
        <f>IF('19. Sewer - Capex Input'!$I161=F$3,'19. Sewer - Capex Input'!$J161,0)</f>
        <v>0</v>
      </c>
      <c r="G678" s="30">
        <f>IF('19. Sewer - Capex Input'!$I161=G$3,'19. Sewer - Capex Input'!$J161,0)</f>
        <v>0</v>
      </c>
      <c r="H678" s="30">
        <f>IF('19. Sewer - Capex Input'!$I161=H$3,'19. Sewer - Capex Input'!$J161,0)</f>
        <v>0</v>
      </c>
    </row>
    <row r="679" spans="2:8">
      <c r="B679" s="152">
        <f t="shared" si="26"/>
        <v>0</v>
      </c>
      <c r="D679" s="30">
        <f>IF('19. Sewer - Capex Input'!$I162=D$3,'19. Sewer - Capex Input'!$J162,0)</f>
        <v>0</v>
      </c>
      <c r="E679" s="30">
        <f>IF('19. Sewer - Capex Input'!$I162=E$3,'19. Sewer - Capex Input'!$J162,0)</f>
        <v>0</v>
      </c>
      <c r="F679" s="30">
        <f>IF('19. Sewer - Capex Input'!$I162=F$3,'19. Sewer - Capex Input'!$J162,0)</f>
        <v>0</v>
      </c>
      <c r="G679" s="30">
        <f>IF('19. Sewer - Capex Input'!$I162=G$3,'19. Sewer - Capex Input'!$J162,0)</f>
        <v>0</v>
      </c>
      <c r="H679" s="30">
        <f>IF('19. Sewer - Capex Input'!$I162=H$3,'19. Sewer - Capex Input'!$J162,0)</f>
        <v>0</v>
      </c>
    </row>
    <row r="680" spans="2:8">
      <c r="B680" s="152">
        <f t="shared" si="26"/>
        <v>0</v>
      </c>
      <c r="D680" s="30">
        <f>IF('19. Sewer - Capex Input'!$I163=D$3,'19. Sewer - Capex Input'!$J163,0)</f>
        <v>0</v>
      </c>
      <c r="E680" s="30">
        <f>IF('19. Sewer - Capex Input'!$I163=E$3,'19. Sewer - Capex Input'!$J163,0)</f>
        <v>0</v>
      </c>
      <c r="F680" s="30">
        <f>IF('19. Sewer - Capex Input'!$I163=F$3,'19. Sewer - Capex Input'!$J163,0)</f>
        <v>0</v>
      </c>
      <c r="G680" s="30">
        <f>IF('19. Sewer - Capex Input'!$I163=G$3,'19. Sewer - Capex Input'!$J163,0)</f>
        <v>0</v>
      </c>
      <c r="H680" s="30">
        <f>IF('19. Sewer - Capex Input'!$I163=H$3,'19. Sewer - Capex Input'!$J163,0)</f>
        <v>0</v>
      </c>
    </row>
    <row r="681" spans="2:8">
      <c r="B681" s="152">
        <f t="shared" si="26"/>
        <v>0</v>
      </c>
      <c r="D681" s="30">
        <f>IF('19. Sewer - Capex Input'!$I164=D$3,'19. Sewer - Capex Input'!$J164,0)</f>
        <v>0</v>
      </c>
      <c r="E681" s="30">
        <f>IF('19. Sewer - Capex Input'!$I164=E$3,'19. Sewer - Capex Input'!$J164,0)</f>
        <v>0</v>
      </c>
      <c r="F681" s="30">
        <f>IF('19. Sewer - Capex Input'!$I164=F$3,'19. Sewer - Capex Input'!$J164,0)</f>
        <v>0</v>
      </c>
      <c r="G681" s="30">
        <f>IF('19. Sewer - Capex Input'!$I164=G$3,'19. Sewer - Capex Input'!$J164,0)</f>
        <v>0</v>
      </c>
      <c r="H681" s="30">
        <f>IF('19. Sewer - Capex Input'!$I164=H$3,'19. Sewer - Capex Input'!$J164,0)</f>
        <v>0</v>
      </c>
    </row>
    <row r="682" spans="2:8">
      <c r="B682" s="152">
        <f t="shared" si="26"/>
        <v>0</v>
      </c>
      <c r="D682" s="30">
        <f>IF('19. Sewer - Capex Input'!$I165=D$3,'19. Sewer - Capex Input'!$J165,0)</f>
        <v>0</v>
      </c>
      <c r="E682" s="30">
        <f>IF('19. Sewer - Capex Input'!$I165=E$3,'19. Sewer - Capex Input'!$J165,0)</f>
        <v>0</v>
      </c>
      <c r="F682" s="30">
        <f>IF('19. Sewer - Capex Input'!$I165=F$3,'19. Sewer - Capex Input'!$J165,0)</f>
        <v>0</v>
      </c>
      <c r="G682" s="30">
        <f>IF('19. Sewer - Capex Input'!$I165=G$3,'19. Sewer - Capex Input'!$J165,0)</f>
        <v>0</v>
      </c>
      <c r="H682" s="30">
        <f>IF('19. Sewer - Capex Input'!$I165=H$3,'19. Sewer - Capex Input'!$J165,0)</f>
        <v>0</v>
      </c>
    </row>
    <row r="683" spans="2:8">
      <c r="B683" s="152">
        <f t="shared" si="26"/>
        <v>0</v>
      </c>
      <c r="D683" s="30">
        <f>IF('19. Sewer - Capex Input'!$I166=D$3,'19. Sewer - Capex Input'!$J166,0)</f>
        <v>0</v>
      </c>
      <c r="E683" s="30">
        <f>IF('19. Sewer - Capex Input'!$I166=E$3,'19. Sewer - Capex Input'!$J166,0)</f>
        <v>0</v>
      </c>
      <c r="F683" s="30">
        <f>IF('19. Sewer - Capex Input'!$I166=F$3,'19. Sewer - Capex Input'!$J166,0)</f>
        <v>0</v>
      </c>
      <c r="G683" s="30">
        <f>IF('19. Sewer - Capex Input'!$I166=G$3,'19. Sewer - Capex Input'!$J166,0)</f>
        <v>0</v>
      </c>
      <c r="H683" s="30">
        <f>IF('19. Sewer - Capex Input'!$I166=H$3,'19. Sewer - Capex Input'!$J166,0)</f>
        <v>0</v>
      </c>
    </row>
    <row r="684" spans="2:8">
      <c r="B684" s="152">
        <f t="shared" si="26"/>
        <v>0</v>
      </c>
      <c r="D684" s="30">
        <f>IF('19. Sewer - Capex Input'!$I167=D$3,'19. Sewer - Capex Input'!$J167,0)</f>
        <v>0</v>
      </c>
      <c r="E684" s="30">
        <f>IF('19. Sewer - Capex Input'!$I167=E$3,'19. Sewer - Capex Input'!$J167,0)</f>
        <v>0</v>
      </c>
      <c r="F684" s="30">
        <f>IF('19. Sewer - Capex Input'!$I167=F$3,'19. Sewer - Capex Input'!$J167,0)</f>
        <v>0</v>
      </c>
      <c r="G684" s="30">
        <f>IF('19. Sewer - Capex Input'!$I167=G$3,'19. Sewer - Capex Input'!$J167,0)</f>
        <v>0</v>
      </c>
      <c r="H684" s="30">
        <f>IF('19. Sewer - Capex Input'!$I167=H$3,'19. Sewer - Capex Input'!$J167,0)</f>
        <v>0</v>
      </c>
    </row>
    <row r="685" spans="2:8">
      <c r="B685" s="152" t="s">
        <v>55</v>
      </c>
      <c r="D685" s="48">
        <f>SUM(D521:D684)</f>
        <v>18109193.155000001</v>
      </c>
      <c r="E685" s="48">
        <f>SUM(E521:E684)</f>
        <v>38228808.72733333</v>
      </c>
      <c r="F685" s="48">
        <f>SUM(F521:F684)</f>
        <v>65574843.814870872</v>
      </c>
      <c r="G685" s="48">
        <f>SUM(G521:G684)</f>
        <v>109864792.71068065</v>
      </c>
      <c r="H685" s="48">
        <f>SUM(H521:H684)</f>
        <v>70187218.442713186</v>
      </c>
    </row>
    <row r="686" spans="2:8">
      <c r="B686" s="152"/>
      <c r="D686" s="70"/>
      <c r="E686" s="70"/>
      <c r="F686" s="70"/>
      <c r="G686" s="70"/>
      <c r="H686" s="70"/>
    </row>
    <row r="687" spans="2:8" ht="15.75">
      <c r="B687" s="151" t="s">
        <v>12</v>
      </c>
      <c r="D687" s="30"/>
      <c r="E687" s="30"/>
      <c r="F687" s="30"/>
      <c r="G687" s="30"/>
      <c r="H687" s="30"/>
    </row>
    <row r="688" spans="2:8">
      <c r="B688" s="152">
        <f>B521</f>
        <v>0</v>
      </c>
      <c r="D688" s="30"/>
      <c r="E688" s="30"/>
      <c r="F688" s="30"/>
      <c r="G688" s="30"/>
      <c r="H688" s="30"/>
    </row>
    <row r="689" spans="2:8">
      <c r="B689" s="152">
        <f t="shared" ref="B689:B752" si="27">B522</f>
        <v>0</v>
      </c>
      <c r="D689" s="30"/>
      <c r="E689" s="30"/>
      <c r="F689" s="30"/>
      <c r="G689" s="30"/>
      <c r="H689" s="30"/>
    </row>
    <row r="690" spans="2:8">
      <c r="B690" s="152">
        <f t="shared" si="27"/>
        <v>0</v>
      </c>
      <c r="D690" s="30"/>
      <c r="E690" s="30"/>
      <c r="F690" s="30"/>
      <c r="G690" s="30"/>
      <c r="H690" s="30"/>
    </row>
    <row r="691" spans="2:8">
      <c r="B691" s="152">
        <f t="shared" si="27"/>
        <v>0</v>
      </c>
      <c r="D691" s="30"/>
      <c r="E691" s="30"/>
      <c r="F691" s="30"/>
      <c r="G691" s="30"/>
      <c r="H691" s="30"/>
    </row>
    <row r="692" spans="2:8">
      <c r="B692" s="152">
        <f t="shared" si="27"/>
        <v>0</v>
      </c>
      <c r="D692" s="30"/>
      <c r="E692" s="30"/>
      <c r="F692" s="30"/>
      <c r="G692" s="30"/>
      <c r="H692" s="30"/>
    </row>
    <row r="693" spans="2:8">
      <c r="B693" s="152">
        <f t="shared" si="27"/>
        <v>0</v>
      </c>
      <c r="D693" s="30"/>
      <c r="E693" s="30"/>
      <c r="F693" s="30"/>
      <c r="G693" s="30"/>
      <c r="H693" s="30"/>
    </row>
    <row r="694" spans="2:8">
      <c r="B694" s="152">
        <f t="shared" si="27"/>
        <v>0</v>
      </c>
      <c r="D694" s="30"/>
      <c r="E694" s="30"/>
      <c r="F694" s="30"/>
      <c r="G694" s="30"/>
      <c r="H694" s="30"/>
    </row>
    <row r="695" spans="2:8">
      <c r="B695" s="152">
        <f t="shared" si="27"/>
        <v>0</v>
      </c>
      <c r="D695" s="30"/>
      <c r="E695" s="30"/>
      <c r="F695" s="30"/>
      <c r="G695" s="30"/>
      <c r="H695" s="30"/>
    </row>
    <row r="696" spans="2:8">
      <c r="B696" s="152">
        <f t="shared" si="27"/>
        <v>0</v>
      </c>
      <c r="D696" s="30"/>
      <c r="E696" s="30"/>
      <c r="F696" s="30"/>
      <c r="G696" s="30"/>
      <c r="H696" s="30"/>
    </row>
    <row r="697" spans="2:8">
      <c r="B697" s="152">
        <f t="shared" si="27"/>
        <v>0</v>
      </c>
      <c r="D697" s="30"/>
      <c r="E697" s="30"/>
      <c r="F697" s="30"/>
      <c r="G697" s="30"/>
      <c r="H697" s="30"/>
    </row>
    <row r="698" spans="2:8">
      <c r="B698" s="152">
        <f t="shared" si="27"/>
        <v>0</v>
      </c>
      <c r="D698" s="30"/>
      <c r="E698" s="30"/>
      <c r="F698" s="30"/>
      <c r="G698" s="30"/>
      <c r="H698" s="30"/>
    </row>
    <row r="699" spans="2:8">
      <c r="B699" s="152">
        <f t="shared" si="27"/>
        <v>0</v>
      </c>
      <c r="D699" s="30"/>
      <c r="E699" s="30"/>
      <c r="F699" s="30"/>
      <c r="G699" s="30"/>
      <c r="H699" s="30"/>
    </row>
    <row r="700" spans="2:8">
      <c r="B700" s="152">
        <f t="shared" si="27"/>
        <v>0</v>
      </c>
      <c r="D700" s="30"/>
      <c r="E700" s="30"/>
      <c r="F700" s="30"/>
      <c r="G700" s="30"/>
      <c r="H700" s="30"/>
    </row>
    <row r="701" spans="2:8">
      <c r="B701" s="152">
        <f t="shared" si="27"/>
        <v>0</v>
      </c>
      <c r="D701" s="30"/>
      <c r="E701" s="30"/>
      <c r="F701" s="30"/>
      <c r="G701" s="30"/>
      <c r="H701" s="30"/>
    </row>
    <row r="702" spans="2:8">
      <c r="B702" s="152">
        <f t="shared" si="27"/>
        <v>0</v>
      </c>
      <c r="D702" s="30"/>
      <c r="E702" s="30"/>
      <c r="F702" s="30"/>
      <c r="G702" s="30"/>
      <c r="H702" s="30"/>
    </row>
    <row r="703" spans="2:8">
      <c r="B703" s="152">
        <f t="shared" si="27"/>
        <v>0</v>
      </c>
      <c r="D703" s="30"/>
      <c r="E703" s="30"/>
      <c r="F703" s="30"/>
      <c r="G703" s="30"/>
      <c r="H703" s="30"/>
    </row>
    <row r="704" spans="2:8">
      <c r="B704" s="152">
        <f t="shared" si="27"/>
        <v>0</v>
      </c>
      <c r="D704" s="30"/>
      <c r="E704" s="30"/>
      <c r="F704" s="30"/>
      <c r="G704" s="30"/>
      <c r="H704" s="30"/>
    </row>
    <row r="705" spans="2:8">
      <c r="B705" s="152">
        <f t="shared" si="27"/>
        <v>0</v>
      </c>
      <c r="D705" s="30"/>
      <c r="E705" s="30"/>
      <c r="F705" s="30"/>
      <c r="G705" s="30"/>
      <c r="H705" s="30"/>
    </row>
    <row r="706" spans="2:8">
      <c r="B706" s="152">
        <f t="shared" si="27"/>
        <v>0</v>
      </c>
      <c r="D706" s="30"/>
      <c r="E706" s="30"/>
      <c r="F706" s="30"/>
      <c r="G706" s="30"/>
      <c r="H706" s="30"/>
    </row>
    <row r="707" spans="2:8">
      <c r="B707" s="152">
        <f t="shared" si="27"/>
        <v>0</v>
      </c>
      <c r="D707" s="30"/>
      <c r="E707" s="30"/>
      <c r="F707" s="30"/>
      <c r="G707" s="30"/>
      <c r="H707" s="30"/>
    </row>
    <row r="708" spans="2:8">
      <c r="B708" s="152">
        <f t="shared" si="27"/>
        <v>0</v>
      </c>
      <c r="D708" s="30"/>
      <c r="E708" s="30"/>
      <c r="F708" s="30"/>
      <c r="G708" s="30"/>
      <c r="H708" s="30"/>
    </row>
    <row r="709" spans="2:8">
      <c r="B709" s="152">
        <f t="shared" si="27"/>
        <v>0</v>
      </c>
      <c r="D709" s="30"/>
      <c r="E709" s="30"/>
      <c r="F709" s="30"/>
      <c r="G709" s="30"/>
      <c r="H709" s="30"/>
    </row>
    <row r="710" spans="2:8">
      <c r="B710" s="152">
        <f t="shared" si="27"/>
        <v>0</v>
      </c>
      <c r="D710" s="30"/>
      <c r="E710" s="30"/>
      <c r="F710" s="30"/>
      <c r="G710" s="30"/>
      <c r="H710" s="30"/>
    </row>
    <row r="711" spans="2:8">
      <c r="B711" s="152">
        <f t="shared" si="27"/>
        <v>0</v>
      </c>
      <c r="D711" s="30"/>
      <c r="E711" s="30"/>
      <c r="F711" s="30"/>
      <c r="G711" s="30"/>
      <c r="H711" s="30"/>
    </row>
    <row r="712" spans="2:8">
      <c r="B712" s="152">
        <f t="shared" si="27"/>
        <v>0</v>
      </c>
      <c r="D712" s="30"/>
      <c r="E712" s="30"/>
      <c r="F712" s="30"/>
      <c r="G712" s="30"/>
      <c r="H712" s="30"/>
    </row>
    <row r="713" spans="2:8">
      <c r="B713" s="152">
        <f t="shared" si="27"/>
        <v>0</v>
      </c>
      <c r="D713" s="30"/>
      <c r="E713" s="30"/>
      <c r="F713" s="30"/>
      <c r="G713" s="30"/>
      <c r="H713" s="30"/>
    </row>
    <row r="714" spans="2:8">
      <c r="B714" s="152">
        <f t="shared" si="27"/>
        <v>0</v>
      </c>
      <c r="D714" s="30"/>
      <c r="E714" s="30"/>
      <c r="F714" s="30"/>
      <c r="G714" s="30"/>
      <c r="H714" s="30"/>
    </row>
    <row r="715" spans="2:8">
      <c r="B715" s="152">
        <f t="shared" si="27"/>
        <v>0</v>
      </c>
      <c r="D715" s="30"/>
      <c r="E715" s="30"/>
      <c r="F715" s="30"/>
      <c r="G715" s="30"/>
      <c r="H715" s="30"/>
    </row>
    <row r="716" spans="2:8">
      <c r="B716" s="152">
        <f t="shared" si="27"/>
        <v>0</v>
      </c>
      <c r="D716" s="30"/>
      <c r="E716" s="30"/>
      <c r="F716" s="30"/>
      <c r="G716" s="30"/>
      <c r="H716" s="30"/>
    </row>
    <row r="717" spans="2:8">
      <c r="B717" s="152">
        <f t="shared" si="27"/>
        <v>0</v>
      </c>
      <c r="D717" s="30"/>
      <c r="E717" s="30"/>
      <c r="F717" s="30"/>
      <c r="G717" s="30"/>
      <c r="H717" s="30"/>
    </row>
    <row r="718" spans="2:8">
      <c r="B718" s="152">
        <f t="shared" si="27"/>
        <v>0</v>
      </c>
      <c r="D718" s="30"/>
      <c r="E718" s="30"/>
      <c r="F718" s="30"/>
      <c r="G718" s="30"/>
      <c r="H718" s="30"/>
    </row>
    <row r="719" spans="2:8">
      <c r="B719" s="152">
        <f t="shared" si="27"/>
        <v>0</v>
      </c>
      <c r="D719" s="30"/>
      <c r="E719" s="30"/>
      <c r="F719" s="30"/>
      <c r="G719" s="30"/>
      <c r="H719" s="30"/>
    </row>
    <row r="720" spans="2:8">
      <c r="B720" s="152">
        <f t="shared" si="27"/>
        <v>0</v>
      </c>
      <c r="D720" s="30"/>
      <c r="E720" s="30"/>
      <c r="F720" s="30"/>
      <c r="G720" s="30"/>
      <c r="H720" s="30"/>
    </row>
    <row r="721" spans="2:8">
      <c r="B721" s="152">
        <f t="shared" si="27"/>
        <v>0</v>
      </c>
      <c r="D721" s="30"/>
      <c r="E721" s="30"/>
      <c r="F721" s="30"/>
      <c r="G721" s="30"/>
      <c r="H721" s="30"/>
    </row>
    <row r="722" spans="2:8">
      <c r="B722" s="152">
        <f t="shared" si="27"/>
        <v>0</v>
      </c>
      <c r="D722" s="30"/>
      <c r="E722" s="30"/>
      <c r="F722" s="30"/>
      <c r="G722" s="30"/>
      <c r="H722" s="30"/>
    </row>
    <row r="723" spans="2:8">
      <c r="B723" s="152">
        <f t="shared" si="27"/>
        <v>0</v>
      </c>
      <c r="D723" s="30"/>
      <c r="E723" s="30"/>
      <c r="F723" s="30"/>
      <c r="G723" s="30"/>
      <c r="H723" s="30"/>
    </row>
    <row r="724" spans="2:8">
      <c r="B724" s="152">
        <f t="shared" si="27"/>
        <v>0</v>
      </c>
      <c r="D724" s="30"/>
      <c r="E724" s="30"/>
      <c r="F724" s="30"/>
      <c r="G724" s="30"/>
      <c r="H724" s="30"/>
    </row>
    <row r="725" spans="2:8">
      <c r="B725" s="152">
        <f t="shared" si="27"/>
        <v>0</v>
      </c>
      <c r="D725" s="30"/>
      <c r="E725" s="30"/>
      <c r="F725" s="30"/>
      <c r="G725" s="30"/>
      <c r="H725" s="30"/>
    </row>
    <row r="726" spans="2:8">
      <c r="B726" s="152">
        <f t="shared" si="27"/>
        <v>0</v>
      </c>
      <c r="D726" s="30"/>
      <c r="E726" s="30"/>
      <c r="F726" s="30"/>
      <c r="G726" s="30"/>
      <c r="H726" s="30"/>
    </row>
    <row r="727" spans="2:8">
      <c r="B727" s="152">
        <f t="shared" si="27"/>
        <v>0</v>
      </c>
      <c r="D727" s="30"/>
      <c r="E727" s="30"/>
      <c r="F727" s="30"/>
      <c r="G727" s="30"/>
      <c r="H727" s="30"/>
    </row>
    <row r="728" spans="2:8">
      <c r="B728" s="152">
        <f t="shared" si="27"/>
        <v>0</v>
      </c>
      <c r="D728" s="30"/>
      <c r="E728" s="30"/>
      <c r="F728" s="30"/>
      <c r="G728" s="30"/>
      <c r="H728" s="30"/>
    </row>
    <row r="729" spans="2:8">
      <c r="B729" s="152">
        <f t="shared" si="27"/>
        <v>0</v>
      </c>
      <c r="D729" s="30"/>
      <c r="E729" s="30"/>
      <c r="F729" s="30"/>
      <c r="G729" s="30"/>
      <c r="H729" s="30"/>
    </row>
    <row r="730" spans="2:8">
      <c r="B730" s="152">
        <f t="shared" si="27"/>
        <v>0</v>
      </c>
      <c r="D730" s="30"/>
      <c r="E730" s="30"/>
      <c r="F730" s="30"/>
      <c r="G730" s="30"/>
      <c r="H730" s="30"/>
    </row>
    <row r="731" spans="2:8">
      <c r="B731" s="152">
        <f t="shared" si="27"/>
        <v>0</v>
      </c>
      <c r="D731" s="30"/>
      <c r="E731" s="30"/>
      <c r="F731" s="30"/>
      <c r="G731" s="30"/>
      <c r="H731" s="30"/>
    </row>
    <row r="732" spans="2:8">
      <c r="B732" s="152">
        <f t="shared" si="27"/>
        <v>0</v>
      </c>
      <c r="D732" s="30"/>
      <c r="E732" s="30"/>
      <c r="F732" s="30"/>
      <c r="G732" s="30"/>
      <c r="H732" s="30"/>
    </row>
    <row r="733" spans="2:8">
      <c r="B733" s="152">
        <f t="shared" si="27"/>
        <v>0</v>
      </c>
      <c r="D733" s="30"/>
      <c r="E733" s="30"/>
      <c r="F733" s="30"/>
      <c r="G733" s="30"/>
      <c r="H733" s="30"/>
    </row>
    <row r="734" spans="2:8">
      <c r="B734" s="152">
        <f t="shared" si="27"/>
        <v>0</v>
      </c>
      <c r="D734" s="30"/>
      <c r="E734" s="30"/>
      <c r="F734" s="30"/>
      <c r="G734" s="30"/>
      <c r="H734" s="30"/>
    </row>
    <row r="735" spans="2:8">
      <c r="B735" s="152">
        <f t="shared" si="27"/>
        <v>0</v>
      </c>
      <c r="D735" s="30"/>
      <c r="E735" s="30"/>
      <c r="F735" s="30"/>
      <c r="G735" s="30"/>
      <c r="H735" s="30"/>
    </row>
    <row r="736" spans="2:8">
      <c r="B736" s="152">
        <f t="shared" si="27"/>
        <v>0</v>
      </c>
      <c r="D736" s="30"/>
      <c r="E736" s="30"/>
      <c r="F736" s="30"/>
      <c r="G736" s="30"/>
      <c r="H736" s="30"/>
    </row>
    <row r="737" spans="2:8">
      <c r="B737" s="152">
        <f t="shared" si="27"/>
        <v>0</v>
      </c>
      <c r="D737" s="30"/>
      <c r="E737" s="30"/>
      <c r="F737" s="30"/>
      <c r="G737" s="30"/>
      <c r="H737" s="30"/>
    </row>
    <row r="738" spans="2:8">
      <c r="B738" s="152">
        <f t="shared" si="27"/>
        <v>0</v>
      </c>
      <c r="D738" s="30"/>
      <c r="E738" s="30"/>
      <c r="F738" s="30"/>
      <c r="G738" s="30"/>
      <c r="H738" s="30"/>
    </row>
    <row r="739" spans="2:8">
      <c r="B739" s="152">
        <f t="shared" si="27"/>
        <v>0</v>
      </c>
      <c r="D739" s="30"/>
      <c r="E739" s="30"/>
      <c r="F739" s="30"/>
      <c r="G739" s="30"/>
      <c r="H739" s="30"/>
    </row>
    <row r="740" spans="2:8">
      <c r="B740" s="152">
        <f t="shared" si="27"/>
        <v>0</v>
      </c>
      <c r="D740" s="30"/>
      <c r="E740" s="30"/>
      <c r="F740" s="30"/>
      <c r="G740" s="30"/>
      <c r="H740" s="30"/>
    </row>
    <row r="741" spans="2:8">
      <c r="B741" s="152">
        <f t="shared" si="27"/>
        <v>0</v>
      </c>
      <c r="D741" s="30"/>
      <c r="E741" s="30"/>
      <c r="F741" s="30"/>
      <c r="G741" s="30"/>
      <c r="H741" s="30"/>
    </row>
    <row r="742" spans="2:8">
      <c r="B742" s="152">
        <f t="shared" si="27"/>
        <v>0</v>
      </c>
      <c r="D742" s="30"/>
      <c r="E742" s="30"/>
      <c r="F742" s="30"/>
      <c r="G742" s="30"/>
      <c r="H742" s="30"/>
    </row>
    <row r="743" spans="2:8">
      <c r="B743" s="152">
        <f t="shared" si="27"/>
        <v>0</v>
      </c>
      <c r="D743" s="30"/>
      <c r="E743" s="30"/>
      <c r="F743" s="30"/>
      <c r="G743" s="30"/>
      <c r="H743" s="30"/>
    </row>
    <row r="744" spans="2:8">
      <c r="B744" s="152">
        <f t="shared" si="27"/>
        <v>0</v>
      </c>
      <c r="D744" s="30"/>
      <c r="E744" s="30"/>
      <c r="F744" s="30"/>
      <c r="G744" s="30"/>
      <c r="H744" s="30"/>
    </row>
    <row r="745" spans="2:8">
      <c r="B745" s="152">
        <f t="shared" si="27"/>
        <v>0</v>
      </c>
      <c r="D745" s="30"/>
      <c r="E745" s="30"/>
      <c r="F745" s="30"/>
      <c r="G745" s="30"/>
      <c r="H745" s="30"/>
    </row>
    <row r="746" spans="2:8">
      <c r="B746" s="152">
        <f t="shared" si="27"/>
        <v>0</v>
      </c>
      <c r="D746" s="30"/>
      <c r="E746" s="30"/>
      <c r="F746" s="30"/>
      <c r="G746" s="30"/>
      <c r="H746" s="30"/>
    </row>
    <row r="747" spans="2:8">
      <c r="B747" s="152">
        <f t="shared" si="27"/>
        <v>0</v>
      </c>
      <c r="D747" s="30"/>
      <c r="E747" s="30"/>
      <c r="F747" s="30"/>
      <c r="G747" s="30"/>
      <c r="H747" s="30"/>
    </row>
    <row r="748" spans="2:8">
      <c r="B748" s="152">
        <f t="shared" si="27"/>
        <v>0</v>
      </c>
      <c r="D748" s="30"/>
      <c r="E748" s="30"/>
      <c r="F748" s="30"/>
      <c r="G748" s="30"/>
      <c r="H748" s="30"/>
    </row>
    <row r="749" spans="2:8">
      <c r="B749" s="152">
        <f t="shared" si="27"/>
        <v>0</v>
      </c>
      <c r="D749" s="30"/>
      <c r="E749" s="30"/>
      <c r="F749" s="30"/>
      <c r="G749" s="30"/>
      <c r="H749" s="30"/>
    </row>
    <row r="750" spans="2:8">
      <c r="B750" s="152">
        <f t="shared" si="27"/>
        <v>0</v>
      </c>
      <c r="D750" s="30"/>
      <c r="E750" s="30"/>
      <c r="F750" s="30"/>
      <c r="G750" s="30"/>
      <c r="H750" s="30"/>
    </row>
    <row r="751" spans="2:8">
      <c r="B751" s="152">
        <f t="shared" si="27"/>
        <v>0</v>
      </c>
      <c r="D751" s="30"/>
      <c r="E751" s="30"/>
      <c r="F751" s="30"/>
      <c r="G751" s="30"/>
      <c r="H751" s="30"/>
    </row>
    <row r="752" spans="2:8">
      <c r="B752" s="152">
        <f t="shared" si="27"/>
        <v>0</v>
      </c>
      <c r="D752" s="30"/>
      <c r="E752" s="30"/>
      <c r="F752" s="30"/>
      <c r="G752" s="30"/>
      <c r="H752" s="30"/>
    </row>
    <row r="753" spans="2:8">
      <c r="B753" s="152">
        <f t="shared" ref="B753:B816" si="28">B586</f>
        <v>0</v>
      </c>
      <c r="D753" s="30"/>
      <c r="E753" s="30"/>
      <c r="F753" s="30"/>
      <c r="G753" s="30"/>
      <c r="H753" s="30"/>
    </row>
    <row r="754" spans="2:8">
      <c r="B754" s="152">
        <f t="shared" si="28"/>
        <v>0</v>
      </c>
      <c r="D754" s="30"/>
      <c r="E754" s="30"/>
      <c r="F754" s="30"/>
      <c r="G754" s="30"/>
      <c r="H754" s="30"/>
    </row>
    <row r="755" spans="2:8">
      <c r="B755" s="152">
        <f t="shared" si="28"/>
        <v>0</v>
      </c>
      <c r="D755" s="30"/>
      <c r="E755" s="30"/>
      <c r="F755" s="30"/>
      <c r="G755" s="30"/>
      <c r="H755" s="30"/>
    </row>
    <row r="756" spans="2:8">
      <c r="B756" s="152">
        <f t="shared" si="28"/>
        <v>0</v>
      </c>
      <c r="D756" s="30"/>
      <c r="E756" s="30"/>
      <c r="F756" s="30"/>
      <c r="G756" s="30"/>
      <c r="H756" s="30"/>
    </row>
    <row r="757" spans="2:8">
      <c r="B757" s="152">
        <f t="shared" si="28"/>
        <v>0</v>
      </c>
      <c r="D757" s="30"/>
      <c r="E757" s="30"/>
      <c r="F757" s="30"/>
      <c r="G757" s="30"/>
      <c r="H757" s="30"/>
    </row>
    <row r="758" spans="2:8">
      <c r="B758" s="152">
        <f t="shared" si="28"/>
        <v>0</v>
      </c>
      <c r="D758" s="30"/>
      <c r="E758" s="30"/>
      <c r="F758" s="30"/>
      <c r="G758" s="30"/>
      <c r="H758" s="30"/>
    </row>
    <row r="759" spans="2:8">
      <c r="B759" s="152">
        <f t="shared" si="28"/>
        <v>0</v>
      </c>
      <c r="D759" s="30"/>
      <c r="E759" s="30"/>
      <c r="F759" s="30"/>
      <c r="G759" s="30"/>
      <c r="H759" s="30"/>
    </row>
    <row r="760" spans="2:8">
      <c r="B760" s="152">
        <f t="shared" si="28"/>
        <v>0</v>
      </c>
      <c r="D760" s="30"/>
      <c r="E760" s="30"/>
      <c r="F760" s="30"/>
      <c r="G760" s="30"/>
      <c r="H760" s="30"/>
    </row>
    <row r="761" spans="2:8">
      <c r="B761" s="152">
        <f t="shared" si="28"/>
        <v>0</v>
      </c>
      <c r="D761" s="30"/>
      <c r="E761" s="30"/>
      <c r="F761" s="30"/>
      <c r="G761" s="30"/>
      <c r="H761" s="30"/>
    </row>
    <row r="762" spans="2:8">
      <c r="B762" s="152">
        <f t="shared" si="28"/>
        <v>0</v>
      </c>
      <c r="D762" s="30"/>
      <c r="E762" s="30"/>
      <c r="F762" s="30"/>
      <c r="G762" s="30"/>
      <c r="H762" s="30"/>
    </row>
    <row r="763" spans="2:8">
      <c r="B763" s="152">
        <f t="shared" si="28"/>
        <v>0</v>
      </c>
      <c r="D763" s="30"/>
      <c r="E763" s="30"/>
      <c r="F763" s="30"/>
      <c r="G763" s="30"/>
      <c r="H763" s="30"/>
    </row>
    <row r="764" spans="2:8">
      <c r="B764" s="152">
        <f t="shared" si="28"/>
        <v>0</v>
      </c>
      <c r="D764" s="30"/>
      <c r="E764" s="30"/>
      <c r="F764" s="30"/>
      <c r="G764" s="30"/>
      <c r="H764" s="30"/>
    </row>
    <row r="765" spans="2:8">
      <c r="B765" s="152">
        <f t="shared" si="28"/>
        <v>0</v>
      </c>
      <c r="D765" s="30"/>
      <c r="E765" s="30"/>
      <c r="F765" s="30"/>
      <c r="G765" s="30"/>
      <c r="H765" s="30"/>
    </row>
    <row r="766" spans="2:8">
      <c r="B766" s="152">
        <f t="shared" si="28"/>
        <v>0</v>
      </c>
      <c r="D766" s="30"/>
      <c r="E766" s="30"/>
      <c r="F766" s="30"/>
      <c r="G766" s="30"/>
      <c r="H766" s="30"/>
    </row>
    <row r="767" spans="2:8">
      <c r="B767" s="152">
        <f t="shared" si="28"/>
        <v>0</v>
      </c>
      <c r="D767" s="30"/>
      <c r="E767" s="30"/>
      <c r="F767" s="30"/>
      <c r="G767" s="30"/>
      <c r="H767" s="30"/>
    </row>
    <row r="768" spans="2:8">
      <c r="B768" s="152">
        <f t="shared" si="28"/>
        <v>0</v>
      </c>
      <c r="D768" s="30"/>
      <c r="E768" s="30"/>
      <c r="F768" s="30"/>
      <c r="G768" s="30"/>
      <c r="H768" s="30"/>
    </row>
    <row r="769" spans="2:8">
      <c r="B769" s="152">
        <f t="shared" si="28"/>
        <v>0</v>
      </c>
      <c r="D769" s="30"/>
      <c r="E769" s="30"/>
      <c r="F769" s="30"/>
      <c r="G769" s="30"/>
      <c r="H769" s="30"/>
    </row>
    <row r="770" spans="2:8">
      <c r="B770" s="152">
        <f t="shared" si="28"/>
        <v>0</v>
      </c>
      <c r="D770" s="30"/>
      <c r="E770" s="30"/>
      <c r="F770" s="30"/>
      <c r="G770" s="30"/>
      <c r="H770" s="30"/>
    </row>
    <row r="771" spans="2:8">
      <c r="B771" s="152">
        <f t="shared" si="28"/>
        <v>0</v>
      </c>
      <c r="D771" s="30"/>
      <c r="E771" s="30"/>
      <c r="F771" s="30"/>
      <c r="G771" s="30"/>
      <c r="H771" s="30"/>
    </row>
    <row r="772" spans="2:8">
      <c r="B772" s="152">
        <f t="shared" si="28"/>
        <v>0</v>
      </c>
      <c r="D772" s="30"/>
      <c r="E772" s="30"/>
      <c r="F772" s="30"/>
      <c r="G772" s="30"/>
      <c r="H772" s="30"/>
    </row>
    <row r="773" spans="2:8">
      <c r="B773" s="152">
        <f t="shared" si="28"/>
        <v>0</v>
      </c>
      <c r="D773" s="30"/>
      <c r="E773" s="30"/>
      <c r="F773" s="30"/>
      <c r="G773" s="30"/>
      <c r="H773" s="30"/>
    </row>
    <row r="774" spans="2:8">
      <c r="B774" s="152">
        <f t="shared" si="28"/>
        <v>0</v>
      </c>
      <c r="D774" s="30"/>
      <c r="E774" s="30"/>
      <c r="F774" s="30"/>
      <c r="G774" s="30"/>
      <c r="H774" s="30"/>
    </row>
    <row r="775" spans="2:8">
      <c r="B775" s="152">
        <f t="shared" si="28"/>
        <v>0</v>
      </c>
      <c r="D775" s="30"/>
      <c r="E775" s="30"/>
      <c r="F775" s="30"/>
      <c r="G775" s="30"/>
      <c r="H775" s="30"/>
    </row>
    <row r="776" spans="2:8">
      <c r="B776" s="152">
        <f t="shared" si="28"/>
        <v>0</v>
      </c>
      <c r="D776" s="30"/>
      <c r="E776" s="30"/>
      <c r="F776" s="30"/>
      <c r="G776" s="30"/>
      <c r="H776" s="30"/>
    </row>
    <row r="777" spans="2:8">
      <c r="B777" s="152">
        <f t="shared" si="28"/>
        <v>0</v>
      </c>
      <c r="D777" s="30"/>
      <c r="E777" s="30"/>
      <c r="F777" s="30"/>
      <c r="G777" s="30"/>
      <c r="H777" s="30"/>
    </row>
    <row r="778" spans="2:8">
      <c r="B778" s="152">
        <f t="shared" si="28"/>
        <v>0</v>
      </c>
      <c r="D778" s="30"/>
      <c r="E778" s="30"/>
      <c r="F778" s="30"/>
      <c r="G778" s="30"/>
      <c r="H778" s="30"/>
    </row>
    <row r="779" spans="2:8">
      <c r="B779" s="152">
        <f t="shared" si="28"/>
        <v>0</v>
      </c>
      <c r="D779" s="30"/>
      <c r="E779" s="30"/>
      <c r="F779" s="30"/>
      <c r="G779" s="30"/>
      <c r="H779" s="30"/>
    </row>
    <row r="780" spans="2:8">
      <c r="B780" s="152">
        <f t="shared" si="28"/>
        <v>0</v>
      </c>
      <c r="D780" s="30"/>
      <c r="E780" s="30"/>
      <c r="F780" s="30"/>
      <c r="G780" s="30"/>
      <c r="H780" s="30"/>
    </row>
    <row r="781" spans="2:8">
      <c r="B781" s="152">
        <f t="shared" si="28"/>
        <v>0</v>
      </c>
      <c r="D781" s="30"/>
      <c r="E781" s="30"/>
      <c r="F781" s="30"/>
      <c r="G781" s="30"/>
      <c r="H781" s="30"/>
    </row>
    <row r="782" spans="2:8">
      <c r="B782" s="152">
        <f t="shared" si="28"/>
        <v>0</v>
      </c>
      <c r="D782" s="30"/>
      <c r="E782" s="30"/>
      <c r="F782" s="30"/>
      <c r="G782" s="30"/>
      <c r="H782" s="30"/>
    </row>
    <row r="783" spans="2:8">
      <c r="B783" s="152">
        <f t="shared" si="28"/>
        <v>0</v>
      </c>
      <c r="D783" s="30"/>
      <c r="E783" s="30"/>
      <c r="F783" s="30"/>
      <c r="G783" s="30"/>
      <c r="H783" s="30"/>
    </row>
    <row r="784" spans="2:8">
      <c r="B784" s="152">
        <f t="shared" si="28"/>
        <v>0</v>
      </c>
      <c r="D784" s="30"/>
      <c r="E784" s="30"/>
      <c r="F784" s="30"/>
      <c r="G784" s="30"/>
      <c r="H784" s="30"/>
    </row>
    <row r="785" spans="2:8">
      <c r="B785" s="152">
        <f t="shared" si="28"/>
        <v>0</v>
      </c>
      <c r="D785" s="30"/>
      <c r="E785" s="30"/>
      <c r="F785" s="30"/>
      <c r="G785" s="30"/>
      <c r="H785" s="30"/>
    </row>
    <row r="786" spans="2:8">
      <c r="B786" s="152">
        <f t="shared" si="28"/>
        <v>0</v>
      </c>
      <c r="D786" s="30"/>
      <c r="E786" s="30"/>
      <c r="F786" s="30"/>
      <c r="G786" s="30"/>
      <c r="H786" s="30"/>
    </row>
    <row r="787" spans="2:8">
      <c r="B787" s="152">
        <f t="shared" si="28"/>
        <v>0</v>
      </c>
      <c r="D787" s="30"/>
      <c r="E787" s="30"/>
      <c r="F787" s="30"/>
      <c r="G787" s="30"/>
      <c r="H787" s="30"/>
    </row>
    <row r="788" spans="2:8">
      <c r="B788" s="152">
        <f t="shared" si="28"/>
        <v>0</v>
      </c>
      <c r="D788" s="30"/>
      <c r="E788" s="30"/>
      <c r="F788" s="30"/>
      <c r="G788" s="30"/>
      <c r="H788" s="30"/>
    </row>
    <row r="789" spans="2:8">
      <c r="B789" s="152">
        <f t="shared" si="28"/>
        <v>0</v>
      </c>
      <c r="D789" s="30"/>
      <c r="E789" s="30"/>
      <c r="F789" s="30"/>
      <c r="G789" s="30"/>
      <c r="H789" s="30"/>
    </row>
    <row r="790" spans="2:8">
      <c r="B790" s="152">
        <f t="shared" si="28"/>
        <v>0</v>
      </c>
      <c r="D790" s="30"/>
      <c r="E790" s="30"/>
      <c r="F790" s="30"/>
      <c r="G790" s="30"/>
      <c r="H790" s="30"/>
    </row>
    <row r="791" spans="2:8">
      <c r="B791" s="152">
        <f t="shared" si="28"/>
        <v>0</v>
      </c>
      <c r="D791" s="30"/>
      <c r="E791" s="30"/>
      <c r="F791" s="30"/>
      <c r="G791" s="30"/>
      <c r="H791" s="30"/>
    </row>
    <row r="792" spans="2:8">
      <c r="B792" s="152">
        <f t="shared" si="28"/>
        <v>0</v>
      </c>
      <c r="D792" s="30"/>
      <c r="E792" s="30"/>
      <c r="F792" s="30"/>
      <c r="G792" s="30"/>
      <c r="H792" s="30"/>
    </row>
    <row r="793" spans="2:8">
      <c r="B793" s="152">
        <f t="shared" si="28"/>
        <v>0</v>
      </c>
      <c r="D793" s="30"/>
      <c r="E793" s="30"/>
      <c r="F793" s="30"/>
      <c r="G793" s="30"/>
      <c r="H793" s="30"/>
    </row>
    <row r="794" spans="2:8">
      <c r="B794" s="152">
        <f t="shared" si="28"/>
        <v>0</v>
      </c>
      <c r="D794" s="30"/>
      <c r="E794" s="30"/>
      <c r="F794" s="30"/>
      <c r="G794" s="30"/>
      <c r="H794" s="30"/>
    </row>
    <row r="795" spans="2:8">
      <c r="B795" s="152">
        <f t="shared" si="28"/>
        <v>0</v>
      </c>
      <c r="D795" s="30"/>
      <c r="E795" s="30"/>
      <c r="F795" s="30"/>
      <c r="G795" s="30"/>
      <c r="H795" s="30"/>
    </row>
    <row r="796" spans="2:8">
      <c r="B796" s="152">
        <f t="shared" si="28"/>
        <v>0</v>
      </c>
      <c r="D796" s="30"/>
      <c r="E796" s="30"/>
      <c r="F796" s="30"/>
      <c r="G796" s="30"/>
      <c r="H796" s="30"/>
    </row>
    <row r="797" spans="2:8">
      <c r="B797" s="152">
        <f t="shared" si="28"/>
        <v>0</v>
      </c>
      <c r="D797" s="30"/>
      <c r="E797" s="30"/>
      <c r="F797" s="30"/>
      <c r="G797" s="30"/>
      <c r="H797" s="30"/>
    </row>
    <row r="798" spans="2:8">
      <c r="B798" s="152">
        <f t="shared" si="28"/>
        <v>0</v>
      </c>
      <c r="D798" s="30"/>
      <c r="E798" s="30"/>
      <c r="F798" s="30"/>
      <c r="G798" s="30"/>
      <c r="H798" s="30"/>
    </row>
    <row r="799" spans="2:8">
      <c r="B799" s="152">
        <f t="shared" si="28"/>
        <v>0</v>
      </c>
      <c r="D799" s="30"/>
      <c r="E799" s="30"/>
      <c r="F799" s="30"/>
      <c r="G799" s="30"/>
      <c r="H799" s="30"/>
    </row>
    <row r="800" spans="2:8">
      <c r="B800" s="152">
        <f t="shared" si="28"/>
        <v>0</v>
      </c>
      <c r="D800" s="30"/>
      <c r="E800" s="30"/>
      <c r="F800" s="30"/>
      <c r="G800" s="30"/>
      <c r="H800" s="30"/>
    </row>
    <row r="801" spans="2:8">
      <c r="B801" s="152">
        <f t="shared" si="28"/>
        <v>0</v>
      </c>
      <c r="D801" s="30"/>
      <c r="E801" s="30"/>
      <c r="F801" s="30"/>
      <c r="G801" s="30"/>
      <c r="H801" s="30"/>
    </row>
    <row r="802" spans="2:8">
      <c r="B802" s="152">
        <f t="shared" si="28"/>
        <v>0</v>
      </c>
      <c r="D802" s="30"/>
      <c r="E802" s="30"/>
      <c r="F802" s="30"/>
      <c r="G802" s="30"/>
      <c r="H802" s="30"/>
    </row>
    <row r="803" spans="2:8">
      <c r="B803" s="152">
        <f t="shared" si="28"/>
        <v>0</v>
      </c>
      <c r="D803" s="30"/>
      <c r="E803" s="30"/>
      <c r="F803" s="30"/>
      <c r="G803" s="30"/>
      <c r="H803" s="30"/>
    </row>
    <row r="804" spans="2:8">
      <c r="B804" s="152">
        <f t="shared" si="28"/>
        <v>0</v>
      </c>
      <c r="D804" s="30"/>
      <c r="E804" s="30"/>
      <c r="F804" s="30"/>
      <c r="G804" s="30"/>
      <c r="H804" s="30"/>
    </row>
    <row r="805" spans="2:8">
      <c r="B805" s="152">
        <f t="shared" si="28"/>
        <v>0</v>
      </c>
      <c r="D805" s="30"/>
      <c r="E805" s="30"/>
      <c r="F805" s="30"/>
      <c r="G805" s="30"/>
      <c r="H805" s="30"/>
    </row>
    <row r="806" spans="2:8">
      <c r="B806" s="152">
        <f t="shared" si="28"/>
        <v>0</v>
      </c>
      <c r="D806" s="30"/>
      <c r="E806" s="30"/>
      <c r="F806" s="30"/>
      <c r="G806" s="30"/>
      <c r="H806" s="30"/>
    </row>
    <row r="807" spans="2:8">
      <c r="B807" s="152">
        <f t="shared" si="28"/>
        <v>0</v>
      </c>
      <c r="D807" s="30"/>
      <c r="E807" s="30"/>
      <c r="F807" s="30"/>
      <c r="G807" s="30"/>
      <c r="H807" s="30"/>
    </row>
    <row r="808" spans="2:8">
      <c r="B808" s="152">
        <f t="shared" si="28"/>
        <v>0</v>
      </c>
      <c r="D808" s="30"/>
      <c r="E808" s="30"/>
      <c r="F808" s="30"/>
      <c r="G808" s="30"/>
      <c r="H808" s="30"/>
    </row>
    <row r="809" spans="2:8">
      <c r="B809" s="152">
        <f t="shared" si="28"/>
        <v>0</v>
      </c>
      <c r="D809" s="30"/>
      <c r="E809" s="30"/>
      <c r="F809" s="30"/>
      <c r="G809" s="30"/>
      <c r="H809" s="30"/>
    </row>
    <row r="810" spans="2:8">
      <c r="B810" s="152">
        <f t="shared" si="28"/>
        <v>0</v>
      </c>
      <c r="D810" s="30"/>
      <c r="E810" s="30"/>
      <c r="F810" s="30"/>
      <c r="G810" s="30"/>
      <c r="H810" s="30"/>
    </row>
    <row r="811" spans="2:8">
      <c r="B811" s="152">
        <f t="shared" si="28"/>
        <v>0</v>
      </c>
      <c r="D811" s="30"/>
      <c r="E811" s="30"/>
      <c r="F811" s="30"/>
      <c r="G811" s="30"/>
      <c r="H811" s="30"/>
    </row>
    <row r="812" spans="2:8">
      <c r="B812" s="152">
        <f t="shared" si="28"/>
        <v>0</v>
      </c>
      <c r="D812" s="30"/>
      <c r="E812" s="30"/>
      <c r="F812" s="30"/>
      <c r="G812" s="30"/>
      <c r="H812" s="30"/>
    </row>
    <row r="813" spans="2:8">
      <c r="B813" s="152">
        <f t="shared" si="28"/>
        <v>0</v>
      </c>
      <c r="D813" s="30"/>
      <c r="E813" s="30"/>
      <c r="F813" s="30"/>
      <c r="G813" s="30"/>
      <c r="H813" s="30"/>
    </row>
    <row r="814" spans="2:8">
      <c r="B814" s="152">
        <f t="shared" si="28"/>
        <v>0</v>
      </c>
      <c r="D814" s="30"/>
      <c r="E814" s="30"/>
      <c r="F814" s="30"/>
      <c r="G814" s="30"/>
      <c r="H814" s="30"/>
    </row>
    <row r="815" spans="2:8">
      <c r="B815" s="152">
        <f t="shared" si="28"/>
        <v>0</v>
      </c>
      <c r="D815" s="30"/>
      <c r="E815" s="30"/>
      <c r="F815" s="30"/>
      <c r="G815" s="30"/>
      <c r="H815" s="30"/>
    </row>
    <row r="816" spans="2:8">
      <c r="B816" s="152">
        <f t="shared" si="28"/>
        <v>0</v>
      </c>
      <c r="D816" s="30"/>
      <c r="E816" s="30"/>
      <c r="F816" s="30"/>
      <c r="G816" s="30"/>
      <c r="H816" s="30"/>
    </row>
    <row r="817" spans="2:8">
      <c r="B817" s="152">
        <f t="shared" ref="B817:B851" si="29">B650</f>
        <v>0</v>
      </c>
      <c r="D817" s="30"/>
      <c r="E817" s="30"/>
      <c r="F817" s="30"/>
      <c r="G817" s="30"/>
      <c r="H817" s="30"/>
    </row>
    <row r="818" spans="2:8">
      <c r="B818" s="152">
        <f t="shared" si="29"/>
        <v>0</v>
      </c>
      <c r="D818" s="30"/>
      <c r="E818" s="30"/>
      <c r="F818" s="30"/>
      <c r="G818" s="30"/>
      <c r="H818" s="30"/>
    </row>
    <row r="819" spans="2:8">
      <c r="B819" s="152">
        <f t="shared" si="29"/>
        <v>0</v>
      </c>
      <c r="D819" s="30"/>
      <c r="E819" s="30"/>
      <c r="F819" s="30"/>
      <c r="G819" s="30"/>
      <c r="H819" s="30"/>
    </row>
    <row r="820" spans="2:8">
      <c r="B820" s="152">
        <f t="shared" si="29"/>
        <v>0</v>
      </c>
      <c r="D820" s="30"/>
      <c r="E820" s="30"/>
      <c r="F820" s="30"/>
      <c r="G820" s="30"/>
      <c r="H820" s="30"/>
    </row>
    <row r="821" spans="2:8">
      <c r="B821" s="152">
        <f t="shared" si="29"/>
        <v>0</v>
      </c>
      <c r="D821" s="30"/>
      <c r="E821" s="30"/>
      <c r="F821" s="30"/>
      <c r="G821" s="30"/>
      <c r="H821" s="30"/>
    </row>
    <row r="822" spans="2:8">
      <c r="B822" s="152">
        <f t="shared" si="29"/>
        <v>0</v>
      </c>
      <c r="D822" s="30"/>
      <c r="E822" s="30"/>
      <c r="F822" s="30"/>
      <c r="G822" s="30"/>
      <c r="H822" s="30"/>
    </row>
    <row r="823" spans="2:8">
      <c r="B823" s="152">
        <f t="shared" si="29"/>
        <v>0</v>
      </c>
      <c r="D823" s="30"/>
      <c r="E823" s="30"/>
      <c r="F823" s="30"/>
      <c r="G823" s="30"/>
      <c r="H823" s="30"/>
    </row>
    <row r="824" spans="2:8">
      <c r="B824" s="152">
        <f t="shared" si="29"/>
        <v>0</v>
      </c>
      <c r="D824" s="30"/>
      <c r="E824" s="30"/>
      <c r="F824" s="30"/>
      <c r="G824" s="30"/>
      <c r="H824" s="30"/>
    </row>
    <row r="825" spans="2:8">
      <c r="B825" s="152">
        <f t="shared" si="29"/>
        <v>0</v>
      </c>
      <c r="D825" s="30"/>
      <c r="E825" s="30"/>
      <c r="F825" s="30"/>
      <c r="G825" s="30"/>
      <c r="H825" s="30"/>
    </row>
    <row r="826" spans="2:8">
      <c r="B826" s="152">
        <f t="shared" si="29"/>
        <v>0</v>
      </c>
      <c r="D826" s="30"/>
      <c r="E826" s="30"/>
      <c r="F826" s="30"/>
      <c r="G826" s="30"/>
      <c r="H826" s="30"/>
    </row>
    <row r="827" spans="2:8">
      <c r="B827" s="152">
        <f t="shared" si="29"/>
        <v>0</v>
      </c>
      <c r="D827" s="30"/>
      <c r="E827" s="30"/>
      <c r="F827" s="30"/>
      <c r="G827" s="30"/>
      <c r="H827" s="30"/>
    </row>
    <row r="828" spans="2:8">
      <c r="B828" s="152">
        <f t="shared" si="29"/>
        <v>0</v>
      </c>
      <c r="D828" s="30"/>
      <c r="E828" s="30"/>
      <c r="F828" s="30"/>
      <c r="G828" s="30"/>
      <c r="H828" s="30"/>
    </row>
    <row r="829" spans="2:8">
      <c r="B829" s="152">
        <f t="shared" si="29"/>
        <v>0</v>
      </c>
      <c r="D829" s="30"/>
      <c r="E829" s="30"/>
      <c r="F829" s="30"/>
      <c r="G829" s="30"/>
      <c r="H829" s="30"/>
    </row>
    <row r="830" spans="2:8">
      <c r="B830" s="152">
        <f t="shared" si="29"/>
        <v>0</v>
      </c>
      <c r="D830" s="30"/>
      <c r="E830" s="30"/>
      <c r="F830" s="30"/>
      <c r="G830" s="30"/>
      <c r="H830" s="30"/>
    </row>
    <row r="831" spans="2:8">
      <c r="B831" s="152">
        <f t="shared" si="29"/>
        <v>0</v>
      </c>
      <c r="D831" s="30"/>
      <c r="E831" s="30"/>
      <c r="F831" s="30"/>
      <c r="G831" s="30"/>
      <c r="H831" s="30"/>
    </row>
    <row r="832" spans="2:8">
      <c r="B832" s="152">
        <f t="shared" si="29"/>
        <v>0</v>
      </c>
      <c r="D832" s="30"/>
      <c r="E832" s="30"/>
      <c r="F832" s="30"/>
      <c r="G832" s="30"/>
      <c r="H832" s="30"/>
    </row>
    <row r="833" spans="2:8">
      <c r="B833" s="152" t="str">
        <f t="shared" si="29"/>
        <v>Carndo Year 4 Reduction</v>
      </c>
      <c r="D833" s="30"/>
      <c r="E833" s="30"/>
      <c r="F833" s="30"/>
      <c r="G833" s="30"/>
      <c r="H833" s="30"/>
    </row>
    <row r="834" spans="2:8">
      <c r="B834" s="152" t="str">
        <f t="shared" si="29"/>
        <v>Carndo Year 5 Reduction</v>
      </c>
      <c r="D834" s="30"/>
      <c r="E834" s="30"/>
      <c r="F834" s="30"/>
      <c r="G834" s="30"/>
      <c r="H834" s="30"/>
    </row>
    <row r="835" spans="2:8">
      <c r="B835" s="152">
        <f t="shared" si="29"/>
        <v>0</v>
      </c>
      <c r="D835" s="30"/>
      <c r="E835" s="30"/>
      <c r="F835" s="30"/>
      <c r="G835" s="30"/>
      <c r="H835" s="30"/>
    </row>
    <row r="836" spans="2:8">
      <c r="B836" s="152">
        <f t="shared" si="29"/>
        <v>0</v>
      </c>
      <c r="D836" s="30"/>
      <c r="E836" s="30"/>
      <c r="F836" s="30"/>
      <c r="G836" s="30"/>
      <c r="H836" s="30"/>
    </row>
    <row r="837" spans="2:8">
      <c r="B837" s="152">
        <f t="shared" si="29"/>
        <v>0</v>
      </c>
      <c r="D837" s="30"/>
      <c r="E837" s="30"/>
      <c r="F837" s="30"/>
      <c r="G837" s="30"/>
      <c r="H837" s="30"/>
    </row>
    <row r="838" spans="2:8">
      <c r="B838" s="152">
        <f t="shared" si="29"/>
        <v>0</v>
      </c>
      <c r="D838" s="30"/>
      <c r="E838" s="30"/>
      <c r="F838" s="30"/>
      <c r="G838" s="30"/>
      <c r="H838" s="30"/>
    </row>
    <row r="839" spans="2:8">
      <c r="B839" s="152">
        <f t="shared" si="29"/>
        <v>0</v>
      </c>
      <c r="D839" s="30"/>
      <c r="E839" s="30"/>
      <c r="F839" s="30"/>
      <c r="G839" s="30"/>
      <c r="H839" s="30"/>
    </row>
    <row r="840" spans="2:8">
      <c r="B840" s="152">
        <f t="shared" si="29"/>
        <v>0</v>
      </c>
      <c r="D840" s="30"/>
      <c r="E840" s="30"/>
      <c r="F840" s="30"/>
      <c r="G840" s="30"/>
      <c r="H840" s="30"/>
    </row>
    <row r="841" spans="2:8">
      <c r="B841" s="152">
        <f t="shared" si="29"/>
        <v>0</v>
      </c>
      <c r="D841" s="30"/>
      <c r="E841" s="30"/>
      <c r="F841" s="30"/>
      <c r="G841" s="30"/>
      <c r="H841" s="30"/>
    </row>
    <row r="842" spans="2:8">
      <c r="B842" s="152">
        <f t="shared" si="29"/>
        <v>0</v>
      </c>
      <c r="D842" s="30"/>
      <c r="E842" s="30"/>
      <c r="F842" s="30"/>
      <c r="G842" s="30"/>
      <c r="H842" s="30"/>
    </row>
    <row r="843" spans="2:8">
      <c r="B843" s="152">
        <f t="shared" si="29"/>
        <v>0</v>
      </c>
      <c r="D843" s="30"/>
      <c r="E843" s="30"/>
      <c r="F843" s="30"/>
      <c r="G843" s="30"/>
      <c r="H843" s="30"/>
    </row>
    <row r="844" spans="2:8">
      <c r="B844" s="152">
        <f t="shared" si="29"/>
        <v>0</v>
      </c>
      <c r="D844" s="30"/>
      <c r="E844" s="30"/>
      <c r="F844" s="30"/>
      <c r="G844" s="30"/>
      <c r="H844" s="30"/>
    </row>
    <row r="845" spans="2:8">
      <c r="B845" s="152">
        <f t="shared" si="29"/>
        <v>0</v>
      </c>
      <c r="D845" s="30"/>
      <c r="E845" s="30"/>
      <c r="F845" s="30"/>
      <c r="G845" s="30"/>
      <c r="H845" s="30"/>
    </row>
    <row r="846" spans="2:8">
      <c r="B846" s="152">
        <f t="shared" si="29"/>
        <v>0</v>
      </c>
      <c r="D846" s="30"/>
      <c r="E846" s="30"/>
      <c r="F846" s="30"/>
      <c r="G846" s="30"/>
      <c r="H846" s="30"/>
    </row>
    <row r="847" spans="2:8">
      <c r="B847" s="152">
        <f t="shared" si="29"/>
        <v>0</v>
      </c>
      <c r="D847" s="30"/>
      <c r="E847" s="30"/>
      <c r="F847" s="30"/>
      <c r="G847" s="30"/>
      <c r="H847" s="30"/>
    </row>
    <row r="848" spans="2:8">
      <c r="B848" s="152">
        <f t="shared" si="29"/>
        <v>0</v>
      </c>
      <c r="D848" s="30"/>
      <c r="E848" s="30"/>
      <c r="F848" s="30"/>
      <c r="G848" s="30"/>
      <c r="H848" s="30"/>
    </row>
    <row r="849" spans="2:8">
      <c r="B849" s="152">
        <f t="shared" si="29"/>
        <v>0</v>
      </c>
      <c r="D849" s="30"/>
      <c r="E849" s="30"/>
      <c r="F849" s="30"/>
      <c r="G849" s="30"/>
      <c r="H849" s="30"/>
    </row>
    <row r="850" spans="2:8">
      <c r="B850" s="152">
        <f t="shared" si="29"/>
        <v>0</v>
      </c>
      <c r="D850" s="30"/>
      <c r="E850" s="30"/>
      <c r="F850" s="30"/>
      <c r="G850" s="30"/>
      <c r="H850" s="30"/>
    </row>
    <row r="851" spans="2:8">
      <c r="B851" s="152">
        <f t="shared" si="29"/>
        <v>0</v>
      </c>
      <c r="D851" s="30"/>
      <c r="E851" s="30"/>
      <c r="F851" s="30"/>
      <c r="G851" s="30"/>
      <c r="H851" s="30"/>
    </row>
    <row r="852" spans="2:8">
      <c r="B852" s="152" t="s">
        <v>53</v>
      </c>
      <c r="D852" s="48">
        <f>SUM(D688:D851)</f>
        <v>0</v>
      </c>
      <c r="E852" s="48">
        <f>SUM(E688:E851)</f>
        <v>0</v>
      </c>
      <c r="F852" s="48">
        <f>SUM(F688:F851)</f>
        <v>0</v>
      </c>
      <c r="G852" s="48">
        <f>SUM(G688:G851)</f>
        <v>0</v>
      </c>
      <c r="H852" s="48">
        <f>SUM(H688:H851)</f>
        <v>0</v>
      </c>
    </row>
    <row r="853" spans="2:8">
      <c r="B853" s="152"/>
      <c r="D853" s="70"/>
      <c r="E853" s="70"/>
      <c r="F853" s="70"/>
      <c r="G853" s="70"/>
      <c r="H853" s="70"/>
    </row>
    <row r="854" spans="2:8" ht="15.75">
      <c r="B854" s="151" t="s">
        <v>13</v>
      </c>
      <c r="D854" s="30"/>
      <c r="E854" s="30"/>
      <c r="F854" s="30"/>
      <c r="G854" s="30"/>
      <c r="H854" s="30"/>
    </row>
    <row r="855" spans="2:8">
      <c r="B855" s="152">
        <f>B688</f>
        <v>0</v>
      </c>
      <c r="D855" s="30">
        <f>IF(D21&lt;1,-(D187+D354+D521+D688),-(D187+D354+'3. General Model Inputs'!$D$53*D521+D688)/D21)</f>
        <v>-1379.5105416666665</v>
      </c>
      <c r="E855" s="30">
        <f>IF(E21&lt;1,-(E187+E354+E521+E688),-(E187+E354+'3. General Model Inputs'!$D$53*E521+E688)/E21)</f>
        <v>-2782.4026179378525</v>
      </c>
      <c r="F855" s="30">
        <f>IF(F21&lt;1,-(F187+F354+F521+F688),-(F187+F354+'3. General Model Inputs'!$D$53*F521+F688)/F21)</f>
        <v>-2782.4026179378525</v>
      </c>
      <c r="G855" s="30">
        <f>IF(G21&lt;1,-(G187+G354+G521+G688),-(G187+G354+'3. General Model Inputs'!$D$53*G521+G688)/G21)</f>
        <v>-2782.4026179378525</v>
      </c>
      <c r="H855" s="30">
        <f>IF(H21&lt;1,-(H187+H354+H521+H688),-(H187+H354+'3. General Model Inputs'!$D$53*H521+H688)/H21)</f>
        <v>-2782.4026179378525</v>
      </c>
    </row>
    <row r="856" spans="2:8">
      <c r="B856" s="152">
        <f t="shared" ref="B856:B919" si="30">B689</f>
        <v>0</v>
      </c>
      <c r="D856" s="30">
        <f>IF(D22&lt;1,-(D188+D355+D522+D689),-(D188+D355+'3. General Model Inputs'!$D$53*D522+D689)/D22)</f>
        <v>0</v>
      </c>
      <c r="E856" s="30">
        <f>IF(E22&lt;1,-(E188+E355+E522+E689),-(E188+E355+'3. General Model Inputs'!$D$53*E522+E689)/E22)</f>
        <v>-4241.5472916666668</v>
      </c>
      <c r="F856" s="30">
        <f>IF(F22&lt;1,-(F188+F355+F522+F689),-(F188+F355+'3. General Model Inputs'!$D$53*F522+F689)/F22)</f>
        <v>-8554.9852153954798</v>
      </c>
      <c r="G856" s="30">
        <f>IF(G22&lt;1,-(G188+G355+G522+G689),-(G188+G355+'3. General Model Inputs'!$D$53*G522+G689)/G22)</f>
        <v>-8554.9852153954798</v>
      </c>
      <c r="H856" s="30">
        <f>IF(H22&lt;1,-(H188+H355+H522+H689),-(H188+H355+'3. General Model Inputs'!$D$53*H522+H689)/H22)</f>
        <v>-8554.9852153954798</v>
      </c>
    </row>
    <row r="857" spans="2:8">
      <c r="B857" s="152">
        <f t="shared" si="30"/>
        <v>0</v>
      </c>
      <c r="D857" s="30">
        <f>IF(D23&lt;1,-(D189+D356+D523+D690),-(D189+D356+'3. General Model Inputs'!$D$53*D523+D690)/D23)</f>
        <v>0</v>
      </c>
      <c r="E857" s="30">
        <f>IF(E23&lt;1,-(E189+E356+E523+E690),-(E189+E356+'3. General Model Inputs'!$D$53*E523+E690)/E23)</f>
        <v>0</v>
      </c>
      <c r="F857" s="30">
        <f>IF(F23&lt;1,-(F189+F356+F523+F690),-(F189+F356+'3. General Model Inputs'!$D$53*F523+F690)/F23)</f>
        <v>-878.61249999999995</v>
      </c>
      <c r="G857" s="30">
        <f>IF(G23&lt;1,-(G189+G356+G523+G690),-(G189+G356+'3. General Model Inputs'!$D$53*G523+G690)/G23)</f>
        <v>-1772.1167372881355</v>
      </c>
      <c r="H857" s="30">
        <f>IF(H23&lt;1,-(H189+H356+H523+H690),-(H189+H356+'3. General Model Inputs'!$D$53*H523+H690)/H23)</f>
        <v>-1772.1167372881357</v>
      </c>
    </row>
    <row r="858" spans="2:8">
      <c r="B858" s="152">
        <f t="shared" si="30"/>
        <v>0</v>
      </c>
      <c r="D858" s="30">
        <f>IF(D24&lt;1,-(D190+D357+D524+D691),-(D190+D357+'3. General Model Inputs'!$D$53*D524+D691)/D24)</f>
        <v>-3277.184666666667</v>
      </c>
      <c r="E858" s="30">
        <f>IF(E24&lt;1,-(E190+E357+E524+E691),-(E190+E357+'3. General Model Inputs'!$D$53*E524+E691)/E24)</f>
        <v>-6788.4539523809526</v>
      </c>
      <c r="F858" s="30">
        <f>IF(F24&lt;1,-(F190+F357+F524+F691),-(F190+F357+'3. General Model Inputs'!$D$53*F524+F691)/F24)</f>
        <v>-6788.4539523809526</v>
      </c>
      <c r="G858" s="30">
        <f>IF(G24&lt;1,-(G190+G357+G524+G691),-(G190+G357+'3. General Model Inputs'!$D$53*G524+G691)/G24)</f>
        <v>-6788.4539523809535</v>
      </c>
      <c r="H858" s="30">
        <f>IF(H24&lt;1,-(H190+H357+H524+H691),-(H190+H357+'3. General Model Inputs'!$D$53*H524+H691)/H24)</f>
        <v>-6788.4539523809535</v>
      </c>
    </row>
    <row r="859" spans="2:8">
      <c r="B859" s="152">
        <f t="shared" si="30"/>
        <v>0</v>
      </c>
      <c r="D859" s="30">
        <f>IF(D25&lt;1,-(D191+D358+D525+D692),-(D191+D358+'3. General Model Inputs'!$D$53*D525+D692)/D25)</f>
        <v>0</v>
      </c>
      <c r="E859" s="30">
        <f>IF(E25&lt;1,-(E191+E358+E525+E692),-(E191+E358+'3. General Model Inputs'!$D$53*E525+E692)/E25)</f>
        <v>-140.96983333333336</v>
      </c>
      <c r="F859" s="30">
        <f>IF(F25&lt;1,-(F191+F358+F525+F692),-(F191+F358+'3. General Model Inputs'!$D$53*F525+F692)/F25)</f>
        <v>-292.0089404761905</v>
      </c>
      <c r="G859" s="30">
        <f>IF(G25&lt;1,-(G191+G358+G525+G692),-(G191+G358+'3. General Model Inputs'!$D$53*G525+G692)/G25)</f>
        <v>-292.00894047619045</v>
      </c>
      <c r="H859" s="30">
        <f>IF(H25&lt;1,-(H191+H358+H525+H692),-(H191+H358+'3. General Model Inputs'!$D$53*H525+H692)/H25)</f>
        <v>-292.00894047619045</v>
      </c>
    </row>
    <row r="860" spans="2:8">
      <c r="B860" s="152">
        <f t="shared" si="30"/>
        <v>0</v>
      </c>
      <c r="D860" s="30">
        <f>IF(D26&lt;1,-(D192+D359+D526+D693),-(D192+D359+'3. General Model Inputs'!$D$53*D526+D693)/D26)</f>
        <v>-2276.4683333333332</v>
      </c>
      <c r="E860" s="30">
        <f>IF(E26&lt;1,-(E192+E359+E526+E693),-(E192+E359+'3. General Model Inputs'!$D$53*E526+E693)/E26)</f>
        <v>-4591.5208757062146</v>
      </c>
      <c r="F860" s="30">
        <f>IF(F26&lt;1,-(F192+F359+F526+F693),-(F192+F359+'3. General Model Inputs'!$D$53*F526+F693)/F26)</f>
        <v>-4591.5208757062146</v>
      </c>
      <c r="G860" s="30">
        <f>IF(G26&lt;1,-(G192+G359+G526+G693),-(G192+G359+'3. General Model Inputs'!$D$53*G526+G693)/G26)</f>
        <v>-4591.5208757062146</v>
      </c>
      <c r="H860" s="30">
        <f>IF(H26&lt;1,-(H192+H359+H526+H693),-(H192+H359+'3. General Model Inputs'!$D$53*H526+H693)/H26)</f>
        <v>-4591.5208757062146</v>
      </c>
    </row>
    <row r="861" spans="2:8">
      <c r="B861" s="152">
        <f t="shared" si="30"/>
        <v>0</v>
      </c>
      <c r="D861" s="30">
        <f>IF(D27&lt;1,-(D193+D360+D527+D694),-(D193+D360+'3. General Model Inputs'!$D$53*D527+D694)/D27)</f>
        <v>0</v>
      </c>
      <c r="E861" s="30">
        <f>IF(E27&lt;1,-(E193+E360+E527+E694),-(E193+E360+'3. General Model Inputs'!$D$53*E527+E694)/E27)</f>
        <v>-15301.279111111111</v>
      </c>
      <c r="F861" s="30">
        <f>IF(F27&lt;1,-(F193+F360+F527+F694),-(F193+F360+'3. General Model Inputs'!$D$53*F527+F694)/F27)</f>
        <v>-30861.901935969869</v>
      </c>
      <c r="G861" s="30">
        <f>IF(G27&lt;1,-(G193+G360+G527+G694),-(G193+G360+'3. General Model Inputs'!$D$53*G527+G694)/G27)</f>
        <v>-30861.901935969869</v>
      </c>
      <c r="H861" s="30">
        <f>IF(H27&lt;1,-(H193+H360+H527+H694),-(H193+H360+'3. General Model Inputs'!$D$53*H527+H694)/H27)</f>
        <v>-30861.901935969869</v>
      </c>
    </row>
    <row r="862" spans="2:8">
      <c r="B862" s="152">
        <f t="shared" si="30"/>
        <v>0</v>
      </c>
      <c r="D862" s="30">
        <f>IF(D28&lt;1,-(D194+D361+D528+D695),-(D194+D361+'3. General Model Inputs'!$D$53*D528+D695)/D28)</f>
        <v>0</v>
      </c>
      <c r="E862" s="30">
        <f>IF(E28&lt;1,-(E194+E361+E528+E695),-(E194+E361+'3. General Model Inputs'!$D$53*E528+E695)/E28)</f>
        <v>0</v>
      </c>
      <c r="F862" s="30">
        <f>IF(F28&lt;1,-(F194+F361+F528+F695),-(F194+F361+'3. General Model Inputs'!$D$53*F528+F695)/F28)</f>
        <v>-36250</v>
      </c>
      <c r="G862" s="30">
        <f>IF(G28&lt;1,-(G194+G361+G528+G695),-(G194+G361+'3. General Model Inputs'!$D$53*G528+G695)/G28)</f>
        <v>-73114.406779661018</v>
      </c>
      <c r="H862" s="30">
        <f>IF(H28&lt;1,-(H194+H361+H528+H695),-(H194+H361+'3. General Model Inputs'!$D$53*H528+H695)/H28)</f>
        <v>-73114.406779661018</v>
      </c>
    </row>
    <row r="863" spans="2:8">
      <c r="B863" s="152">
        <f t="shared" si="30"/>
        <v>0</v>
      </c>
      <c r="D863" s="30">
        <f>IF(D29&lt;1,-(D195+D362+D529+D696),-(D195+D362+'3. General Model Inputs'!$D$53*D529+D696)/D29)</f>
        <v>-38693.514999999999</v>
      </c>
      <c r="E863" s="30">
        <f>IF(E29&lt;1,-(E195+E362+E529+E696),-(E195+E362+'3. General Model Inputs'!$D$53*E529+E696)/E29)</f>
        <v>-78721.289137931031</v>
      </c>
      <c r="F863" s="30">
        <f>IF(F29&lt;1,-(F195+F362+F529+F696),-(F195+F362+'3. General Model Inputs'!$D$53*F529+F696)/F29)</f>
        <v>-78721.289137931031</v>
      </c>
      <c r="G863" s="30">
        <f>IF(G29&lt;1,-(G195+G362+G529+G696),-(G195+G362+'3. General Model Inputs'!$D$53*G529+G696)/G29)</f>
        <v>-78721.289137931017</v>
      </c>
      <c r="H863" s="30">
        <f>IF(H29&lt;1,-(H195+H362+H529+H696),-(H195+H362+'3. General Model Inputs'!$D$53*H529+H696)/H29)</f>
        <v>-78721.289137931017</v>
      </c>
    </row>
    <row r="864" spans="2:8">
      <c r="B864" s="152">
        <f t="shared" si="30"/>
        <v>0</v>
      </c>
      <c r="D864" s="30">
        <f>IF(D30&lt;1,-(D196+D363+D530+D697),-(D196+D363+'3. General Model Inputs'!$D$53*D530+D697)/D30)</f>
        <v>0</v>
      </c>
      <c r="E864" s="30">
        <f>IF(E30&lt;1,-(E196+E363+E530+E697),-(E196+E363+'3. General Model Inputs'!$D$53*E530+E697)/E30)</f>
        <v>-38118.362999999998</v>
      </c>
      <c r="F864" s="30">
        <f>IF(F30&lt;1,-(F196+F363+F530+F697),-(F196+F363+'3. General Model Inputs'!$D$53*F530+F697)/F30)</f>
        <v>-77551.152310344827</v>
      </c>
      <c r="G864" s="30">
        <f>IF(G30&lt;1,-(G196+G363+G530+G697),-(G196+G363+'3. General Model Inputs'!$D$53*G530+G697)/G30)</f>
        <v>-77551.152310344827</v>
      </c>
      <c r="H864" s="30">
        <f>IF(H30&lt;1,-(H196+H363+H530+H697),-(H196+H363+'3. General Model Inputs'!$D$53*H530+H697)/H30)</f>
        <v>-77551.152310344827</v>
      </c>
    </row>
    <row r="865" spans="2:8">
      <c r="B865" s="152">
        <f t="shared" si="30"/>
        <v>0</v>
      </c>
      <c r="D865" s="30">
        <f>IF(D31&lt;1,-(D197+D364+D531+D698),-(D197+D364+'3. General Model Inputs'!$D$53*D531+D698)/D31)</f>
        <v>0</v>
      </c>
      <c r="E865" s="30">
        <f>IF(E31&lt;1,-(E197+E364+E531+E698),-(E197+E364+'3. General Model Inputs'!$D$53*E531+E698)/E31)</f>
        <v>0</v>
      </c>
      <c r="F865" s="30">
        <f>IF(F31&lt;1,-(F197+F364+F531+F698),-(F197+F364+'3. General Model Inputs'!$D$53*F531+F698)/F31)</f>
        <v>-86605.65</v>
      </c>
      <c r="G865" s="30">
        <f>IF(G31&lt;1,-(G197+G364+G531+G698),-(G197+G364+'3. General Model Inputs'!$D$53*G531+G698)/G31)</f>
        <v>-176197.70172413791</v>
      </c>
      <c r="H865" s="30">
        <f>IF(H31&lt;1,-(H197+H364+H531+H698),-(H197+H364+'3. General Model Inputs'!$D$53*H531+H698)/H31)</f>
        <v>-176197.70172413791</v>
      </c>
    </row>
    <row r="866" spans="2:8">
      <c r="B866" s="152">
        <f t="shared" si="30"/>
        <v>0</v>
      </c>
      <c r="D866" s="30">
        <f>IF(D32&lt;1,-(D198+D365+D532+D699),-(D198+D365+'3. General Model Inputs'!$D$53*D532+D699)/D32)</f>
        <v>0</v>
      </c>
      <c r="E866" s="30">
        <f>IF(E32&lt;1,-(E198+E365+E532+E699),-(E198+E365+'3. General Model Inputs'!$D$53*E532+E699)/E32)</f>
        <v>0</v>
      </c>
      <c r="F866" s="30">
        <f>IF(F32&lt;1,-(F198+F365+F532+F699),-(F198+F365+'3. General Model Inputs'!$D$53*F532+F699)/F32)</f>
        <v>0</v>
      </c>
      <c r="G866" s="30">
        <f>IF(G32&lt;1,-(G198+G365+G532+G699),-(G198+G365+'3. General Model Inputs'!$D$53*G532+G699)/G32)</f>
        <v>-660906.85</v>
      </c>
      <c r="H866" s="30">
        <f>IF(H32&lt;1,-(H198+H365+H532+H699),-(H198+H365+'3. General Model Inputs'!$D$53*H532+H699)/H32)</f>
        <v>-1344603.5913793102</v>
      </c>
    </row>
    <row r="867" spans="2:8">
      <c r="B867" s="152">
        <f t="shared" si="30"/>
        <v>0</v>
      </c>
      <c r="D867" s="30">
        <f>IF(D33&lt;1,-(D199+D366+D533+D700),-(D199+D366+'3. General Model Inputs'!$D$53*D533+D700)/D33)</f>
        <v>0</v>
      </c>
      <c r="E867" s="30">
        <f>IF(E33&lt;1,-(E199+E366+E533+E700),-(E199+E366+'3. General Model Inputs'!$D$53*E533+E700)/E33)</f>
        <v>0</v>
      </c>
      <c r="F867" s="30">
        <f>IF(F33&lt;1,-(F199+F366+F533+F700),-(F199+F366+'3. General Model Inputs'!$D$53*F533+F700)/F33)</f>
        <v>0</v>
      </c>
      <c r="G867" s="30">
        <f>IF(G33&lt;1,-(G199+G366+G533+G700),-(G199+G366+'3. General Model Inputs'!$D$53*G533+G700)/G33)</f>
        <v>0</v>
      </c>
      <c r="H867" s="30">
        <f>IF(H33&lt;1,-(H199+H366+H533+H700),-(H199+H366+'3. General Model Inputs'!$D$53*H533+H700)/H33)</f>
        <v>-232489.45</v>
      </c>
    </row>
    <row r="868" spans="2:8">
      <c r="B868" s="152">
        <f t="shared" si="30"/>
        <v>0</v>
      </c>
      <c r="D868" s="30">
        <f>IF(D34&lt;1,-(D200+D367+D534+D701),-(D200+D367+'3. General Model Inputs'!$D$53*D534+D701)/D34)</f>
        <v>0</v>
      </c>
      <c r="E868" s="30">
        <f>IF(E34&lt;1,-(E200+E367+E534+E701),-(E200+E367+'3. General Model Inputs'!$D$53*E534+E701)/E34)</f>
        <v>-161923.20000000001</v>
      </c>
      <c r="F868" s="30">
        <f>IF(F34&lt;1,-(F200+F367+F534+F701),-(F200+F367+'3. General Model Inputs'!$D$53*F534+F701)/F34)</f>
        <v>-329429.95862068969</v>
      </c>
      <c r="G868" s="30">
        <f>IF(G34&lt;1,-(G200+G367+G534+G701),-(G200+G367+'3. General Model Inputs'!$D$53*G534+G701)/G34)</f>
        <v>-329429.95862068969</v>
      </c>
      <c r="H868" s="30">
        <f>IF(H34&lt;1,-(H200+H367+H534+H701),-(H200+H367+'3. General Model Inputs'!$D$53*H534+H701)/H34)</f>
        <v>-329429.95862068969</v>
      </c>
    </row>
    <row r="869" spans="2:8">
      <c r="B869" s="152">
        <f t="shared" si="30"/>
        <v>0</v>
      </c>
      <c r="D869" s="30">
        <f>IF(D35&lt;1,-(D201+D368+D535+D702),-(D201+D368+'3. General Model Inputs'!$D$53*D535+D702)/D35)</f>
        <v>0</v>
      </c>
      <c r="E869" s="30">
        <f>IF(E35&lt;1,-(E201+E368+E535+E702),-(E201+E368+'3. General Model Inputs'!$D$53*E535+E702)/E35)</f>
        <v>0</v>
      </c>
      <c r="F869" s="30">
        <f>IF(F35&lt;1,-(F201+F368+F535+F702),-(F201+F368+'3. General Model Inputs'!$D$53*F535+F702)/F35)</f>
        <v>-151026.20000000001</v>
      </c>
      <c r="G869" s="30">
        <f>IF(G35&lt;1,-(G201+G368+G535+G702),-(G201+G368+'3. General Model Inputs'!$D$53*G535+G702)/G35)</f>
        <v>-307260.2</v>
      </c>
      <c r="H869" s="30">
        <f>IF(H35&lt;1,-(H201+H368+H535+H702),-(H201+H368+'3. General Model Inputs'!$D$53*H535+H702)/H35)</f>
        <v>-307260.20000000007</v>
      </c>
    </row>
    <row r="870" spans="2:8">
      <c r="B870" s="152">
        <f t="shared" si="30"/>
        <v>0</v>
      </c>
      <c r="D870" s="30">
        <f>IF(D36&lt;1,-(D202+D369+D536+D703),-(D202+D369+'3. General Model Inputs'!$D$53*D536+D703)/D36)</f>
        <v>0</v>
      </c>
      <c r="E870" s="30">
        <f>IF(E36&lt;1,-(E202+E369+E536+E703),-(E202+E369+'3. General Model Inputs'!$D$53*E536+E703)/E36)</f>
        <v>0</v>
      </c>
      <c r="F870" s="30">
        <f>IF(F36&lt;1,-(F202+F369+F536+F703),-(F202+F369+'3. General Model Inputs'!$D$53*F536+F703)/F36)</f>
        <v>0</v>
      </c>
      <c r="G870" s="30">
        <f>IF(G36&lt;1,-(G202+G369+G536+G703),-(G202+G369+'3. General Model Inputs'!$D$53*G536+G703)/G36)</f>
        <v>-155274.86666666667</v>
      </c>
      <c r="H870" s="30">
        <f>IF(H36&lt;1,-(H202+H369+H536+H703),-(H202+H369+'3. General Model Inputs'!$D$53*H536+H703)/H36)</f>
        <v>-315904.03908045974</v>
      </c>
    </row>
    <row r="871" spans="2:8">
      <c r="B871" s="152">
        <f t="shared" si="30"/>
        <v>0</v>
      </c>
      <c r="D871" s="30">
        <f>IF(D37&lt;1,-(D203+D370+D537+D704),-(D203+D370+'3. General Model Inputs'!$D$53*D537+D704)/D37)</f>
        <v>0</v>
      </c>
      <c r="E871" s="30">
        <f>IF(E37&lt;1,-(E203+E370+E537+E704),-(E203+E370+'3. General Model Inputs'!$D$53*E537+E704)/E37)</f>
        <v>0</v>
      </c>
      <c r="F871" s="30">
        <f>IF(F37&lt;1,-(F203+F370+F537+F704),-(F203+F370+'3. General Model Inputs'!$D$53*F537+F704)/F37)</f>
        <v>0</v>
      </c>
      <c r="G871" s="30">
        <f>IF(G37&lt;1,-(G203+G370+G537+G704),-(G203+G370+'3. General Model Inputs'!$D$53*G537+G704)/G37)</f>
        <v>0</v>
      </c>
      <c r="H871" s="30">
        <f>IF(H37&lt;1,-(H203+H370+H537+H704),-(H203+H370+'3. General Model Inputs'!$D$53*H537+H704)/H37)</f>
        <v>-159799.70000000001</v>
      </c>
    </row>
    <row r="872" spans="2:8">
      <c r="B872" s="152">
        <f t="shared" si="30"/>
        <v>0</v>
      </c>
      <c r="D872" s="30">
        <f>IF(D38&lt;1,-(D204+D371+D538+D705),-(D204+D371+'3. General Model Inputs'!$D$53*D538+D705)/D38)</f>
        <v>0</v>
      </c>
      <c r="E872" s="30">
        <f>IF(E38&lt;1,-(E204+E371+E538+E705),-(E204+E371+'3. General Model Inputs'!$D$53*E538+E705)/E38)</f>
        <v>-1712.6139250000001</v>
      </c>
      <c r="F872" s="30">
        <f>IF(F38&lt;1,-(F204+F371+F538+F705),-(F204+F371+'3. General Model Inputs'!$D$53*F538+F705)/F38)</f>
        <v>-3446.9065072784811</v>
      </c>
      <c r="G872" s="30">
        <f>IF(G38&lt;1,-(G204+G371+G538+G705),-(G204+G371+'3. General Model Inputs'!$D$53*G538+G705)/G38)</f>
        <v>-3446.9065072784806</v>
      </c>
      <c r="H872" s="30">
        <f>IF(H38&lt;1,-(H204+H371+H538+H705),-(H204+H371+'3. General Model Inputs'!$D$53*H538+H705)/H38)</f>
        <v>-3446.9065072784801</v>
      </c>
    </row>
    <row r="873" spans="2:8">
      <c r="B873" s="152">
        <f t="shared" si="30"/>
        <v>0</v>
      </c>
      <c r="D873" s="30">
        <f>IF(D39&lt;1,-(D205+D372+D539+D706),-(D205+D372+'3. General Model Inputs'!$D$53*D539+D706)/D39)</f>
        <v>0</v>
      </c>
      <c r="E873" s="30">
        <f>IF(E39&lt;1,-(E205+E372+E539+E706),-(E205+E372+'3. General Model Inputs'!$D$53*E539+E706)/E39)</f>
        <v>0</v>
      </c>
      <c r="F873" s="30">
        <f>IF(F39&lt;1,-(F205+F372+F539+F706),-(F205+F372+'3. General Model Inputs'!$D$53*F539+F706)/F39)</f>
        <v>-51452.7</v>
      </c>
      <c r="G873" s="30">
        <f>IF(G39&lt;1,-(G205+G372+G539+G706),-(G205+G372+'3. General Model Inputs'!$D$53*G539+G706)/G39)</f>
        <v>-103556.7</v>
      </c>
      <c r="H873" s="30">
        <f>IF(H39&lt;1,-(H205+H372+H539+H706),-(H205+H372+'3. General Model Inputs'!$D$53*H539+H706)/H39)</f>
        <v>-103556.7</v>
      </c>
    </row>
    <row r="874" spans="2:8">
      <c r="B874" s="152">
        <f t="shared" si="30"/>
        <v>0</v>
      </c>
      <c r="D874" s="30">
        <f>IF(D40&lt;1,-(D206+D373+D540+D707),-(D206+D373+'3. General Model Inputs'!$D$53*D540+D707)/D40)</f>
        <v>0</v>
      </c>
      <c r="E874" s="30">
        <f>IF(E40&lt;1,-(E206+E373+E540+E707),-(E206+E373+'3. General Model Inputs'!$D$53*E540+E707)/E40)</f>
        <v>0</v>
      </c>
      <c r="F874" s="30">
        <f>IF(F40&lt;1,-(F206+F373+F540+F707),-(F206+F373+'3. General Model Inputs'!$D$53*F540+F707)/F40)</f>
        <v>0</v>
      </c>
      <c r="G874" s="30">
        <f>IF(G40&lt;1,-(G206+G373+G540+G707),-(G206+G373+'3. General Model Inputs'!$D$53*G540+G707)/G40)</f>
        <v>-72917.193750000006</v>
      </c>
      <c r="H874" s="30">
        <f>IF(H40&lt;1,-(H206+H373+H540+H707),-(H206+H373+'3. General Model Inputs'!$D$53*H540+H707)/H40)</f>
        <v>-146757.38995253164</v>
      </c>
    </row>
    <row r="875" spans="2:8">
      <c r="B875" s="152">
        <f t="shared" si="30"/>
        <v>0</v>
      </c>
      <c r="D875" s="30">
        <f>IF(D41&lt;1,-(D207+D374+D541+D708),-(D207+D374+'3. General Model Inputs'!$D$53*D541+D708)/D41)</f>
        <v>0</v>
      </c>
      <c r="E875" s="30">
        <f>IF(E41&lt;1,-(E207+E374+E541+E708),-(E207+E374+'3. General Model Inputs'!$D$53*E541+E708)/E41)</f>
        <v>0</v>
      </c>
      <c r="F875" s="30">
        <f>IF(F41&lt;1,-(F207+F374+F541+F708),-(F207+F374+'3. General Model Inputs'!$D$53*F541+F708)/F41)</f>
        <v>0</v>
      </c>
      <c r="G875" s="30">
        <f>IF(G41&lt;1,-(G207+G374+G541+G708),-(G207+G374+'3. General Model Inputs'!$D$53*G541+G708)/G41)</f>
        <v>0</v>
      </c>
      <c r="H875" s="30">
        <f>IF(H41&lt;1,-(H207+H374+H541+H708),-(H207+H374+'3. General Model Inputs'!$D$53*H541+H708)/H41)</f>
        <v>-25845.831249999999</v>
      </c>
    </row>
    <row r="876" spans="2:8">
      <c r="B876" s="152">
        <f t="shared" si="30"/>
        <v>0</v>
      </c>
      <c r="D876" s="30">
        <f>IF(D42&lt;1,-(D208+D375+D542+D709),-(D208+D375+'3. General Model Inputs'!$D$53*D542+D709)/D42)</f>
        <v>0</v>
      </c>
      <c r="E876" s="30">
        <f>IF(E42&lt;1,-(E208+E375+E542+E709),-(E208+E375+'3. General Model Inputs'!$D$53*E542+E709)/E42)</f>
        <v>-71666.666666666672</v>
      </c>
      <c r="F876" s="30">
        <f>IF(F42&lt;1,-(F208+F375+F542+F709),-(F208+F375+'3. General Model Inputs'!$D$53*F542+F709)/F42)</f>
        <v>-145804.59770114941</v>
      </c>
      <c r="G876" s="30">
        <f>IF(G42&lt;1,-(G208+G375+G542+G709),-(G208+G375+'3. General Model Inputs'!$D$53*G542+G709)/G42)</f>
        <v>-145804.59770114941</v>
      </c>
      <c r="H876" s="30">
        <f>IF(H42&lt;1,-(H208+H375+H542+H709),-(H208+H375+'3. General Model Inputs'!$D$53*H542+H709)/H42)</f>
        <v>-145804.59770114941</v>
      </c>
    </row>
    <row r="877" spans="2:8">
      <c r="B877" s="152">
        <f t="shared" si="30"/>
        <v>0</v>
      </c>
      <c r="D877" s="30">
        <f>IF(D43&lt;1,-(D209+D376+D543+D710),-(D209+D376+'3. General Model Inputs'!$D$53*D543+D710)/D43)</f>
        <v>0</v>
      </c>
      <c r="E877" s="30">
        <f>IF(E43&lt;1,-(E209+E376+E543+E710),-(E209+E376+'3. General Model Inputs'!$D$53*E543+E710)/E43)</f>
        <v>0</v>
      </c>
      <c r="F877" s="30">
        <f>IF(F43&lt;1,-(F209+F376+F543+F710),-(F209+F376+'3. General Model Inputs'!$D$53*F543+F710)/F43)</f>
        <v>-303333.33333333331</v>
      </c>
      <c r="G877" s="30">
        <f>IF(G43&lt;1,-(G209+G376+G543+G710),-(G209+G376+'3. General Model Inputs'!$D$53*G543+G710)/G43)</f>
        <v>-617126.4367816092</v>
      </c>
      <c r="H877" s="30">
        <f>IF(H43&lt;1,-(H209+H376+H543+H710),-(H209+H376+'3. General Model Inputs'!$D$53*H543+H710)/H43)</f>
        <v>-617126.43678160931</v>
      </c>
    </row>
    <row r="878" spans="2:8">
      <c r="B878" s="152">
        <f t="shared" si="30"/>
        <v>0</v>
      </c>
      <c r="D878" s="30">
        <f>IF(D44&lt;1,-(D210+D377+D544+D711),-(D210+D377+'3. General Model Inputs'!$D$53*D544+D711)/D44)</f>
        <v>0</v>
      </c>
      <c r="E878" s="30">
        <f>IF(E44&lt;1,-(E210+E377+E544+E711),-(E210+E377+'3. General Model Inputs'!$D$53*E544+E711)/E44)</f>
        <v>0</v>
      </c>
      <c r="F878" s="30">
        <f>IF(F44&lt;1,-(F210+F377+F544+F711),-(F210+F377+'3. General Model Inputs'!$D$53*F544+F711)/F44)</f>
        <v>-9002.1</v>
      </c>
      <c r="G878" s="30">
        <f>IF(G44&lt;1,-(G210+G377+G544+G711),-(G210+G377+'3. General Model Inputs'!$D$53*G544+G711)/G44)</f>
        <v>-18314.61724137931</v>
      </c>
      <c r="H878" s="30">
        <f>IF(H44&lt;1,-(H210+H377+H544+H711),-(H210+H377+'3. General Model Inputs'!$D$53*H544+H711)/H44)</f>
        <v>-18314.61724137931</v>
      </c>
    </row>
    <row r="879" spans="2:8">
      <c r="B879" s="152">
        <f t="shared" si="30"/>
        <v>0</v>
      </c>
      <c r="D879" s="30">
        <f>IF(D45&lt;1,-(D211+D378+D545+D712),-(D211+D378+'3. General Model Inputs'!$D$53*D545+D712)/D45)</f>
        <v>0</v>
      </c>
      <c r="E879" s="30">
        <f>IF(E45&lt;1,-(E211+E378+E545+E712),-(E211+E378+'3. General Model Inputs'!$D$53*E545+E712)/E45)</f>
        <v>0</v>
      </c>
      <c r="F879" s="30">
        <f>IF(F45&lt;1,-(F211+F378+F545+F712),-(F211+F378+'3. General Model Inputs'!$D$53*F545+F712)/F45)</f>
        <v>0</v>
      </c>
      <c r="G879" s="30">
        <f>IF(G45&lt;1,-(G211+G378+G545+G712),-(G211+G378+'3. General Model Inputs'!$D$53*G545+G712)/G45)</f>
        <v>-129872.65</v>
      </c>
      <c r="H879" s="30">
        <f>IF(H45&lt;1,-(H211+H378+H545+H712),-(H211+H378+'3. General Model Inputs'!$D$53*H545+H712)/H45)</f>
        <v>-264223.66724137927</v>
      </c>
    </row>
    <row r="880" spans="2:8">
      <c r="B880" s="152">
        <f t="shared" si="30"/>
        <v>0</v>
      </c>
      <c r="D880" s="30">
        <f>IF(D46&lt;1,-(D212+D379+D546+D713),-(D212+D379+'3. General Model Inputs'!$D$53*D546+D713)/D46)</f>
        <v>0</v>
      </c>
      <c r="E880" s="30">
        <f>IF(E46&lt;1,-(E212+E379+E546+E713),-(E212+E379+'3. General Model Inputs'!$D$53*E546+E713)/E46)</f>
        <v>0</v>
      </c>
      <c r="F880" s="30">
        <f>IF(F46&lt;1,-(F212+F379+F546+F713),-(F212+F379+'3. General Model Inputs'!$D$53*F546+F713)/F46)</f>
        <v>0</v>
      </c>
      <c r="G880" s="30">
        <f>IF(G46&lt;1,-(G212+G379+G546+G713),-(G212+G379+'3. General Model Inputs'!$D$53*G546+G713)/G46)</f>
        <v>0</v>
      </c>
      <c r="H880" s="30">
        <f>IF(H46&lt;1,-(H212+H379+H546+H713),-(H212+H379+'3. General Model Inputs'!$D$53*H546+H713)/H46)</f>
        <v>-190501.18333333332</v>
      </c>
    </row>
    <row r="881" spans="2:8">
      <c r="B881" s="152">
        <f t="shared" si="30"/>
        <v>0</v>
      </c>
      <c r="D881" s="30">
        <f>IF(D47&lt;1,-(D213+D380+D547+D714),-(D213+D380+'3. General Model Inputs'!$D$53*D547+D714)/D47)</f>
        <v>0</v>
      </c>
      <c r="E881" s="30">
        <f>IF(E47&lt;1,-(E213+E380+E547+E714),-(E213+E380+'3. General Model Inputs'!$D$53*E547+E714)/E47)</f>
        <v>0</v>
      </c>
      <c r="F881" s="30">
        <f>IF(F47&lt;1,-(F213+F380+F547+F714),-(F213+F380+'3. General Model Inputs'!$D$53*F547+F714)/F47)</f>
        <v>-26092.35</v>
      </c>
      <c r="G881" s="30">
        <f>IF(G47&lt;1,-(G213+G380+G547+G714),-(G213+G380+'3. General Model Inputs'!$D$53*G547+G714)/G47)</f>
        <v>-53557.981578947372</v>
      </c>
      <c r="H881" s="30">
        <f>IF(H47&lt;1,-(H213+H380+H547+H714),-(H213+H380+'3. General Model Inputs'!$D$53*H547+H714)/H47)</f>
        <v>-53557.981578947365</v>
      </c>
    </row>
    <row r="882" spans="2:8">
      <c r="B882" s="152">
        <f t="shared" si="30"/>
        <v>0</v>
      </c>
      <c r="D882" s="30">
        <f>IF(D48&lt;1,-(D214+D381+D548+D715),-(D214+D381+'3. General Model Inputs'!$D$53*D548+D715)/D48)</f>
        <v>0</v>
      </c>
      <c r="E882" s="30">
        <f>IF(E48&lt;1,-(E214+E381+E548+E715),-(E214+E381+'3. General Model Inputs'!$D$53*E548+E715)/E48)</f>
        <v>0</v>
      </c>
      <c r="F882" s="30">
        <f>IF(F48&lt;1,-(F214+F381+F548+F715),-(F214+F381+'3. General Model Inputs'!$D$53*F548+F715)/F48)</f>
        <v>0</v>
      </c>
      <c r="G882" s="30">
        <f>IF(G48&lt;1,-(G214+G381+G548+G715),-(G214+G381+'3. General Model Inputs'!$D$53*G548+G715)/G48)</f>
        <v>-133857.1</v>
      </c>
      <c r="H882" s="30">
        <f>IF(H48&lt;1,-(H214+H381+H548+H715),-(H214+H381+'3. General Model Inputs'!$D$53*H548+H715)/H48)</f>
        <v>-274759.31052631582</v>
      </c>
    </row>
    <row r="883" spans="2:8">
      <c r="B883" s="152">
        <f t="shared" si="30"/>
        <v>0</v>
      </c>
      <c r="D883" s="30">
        <f>IF(D49&lt;1,-(D215+D382+D549+D716),-(D215+D382+'3. General Model Inputs'!$D$53*D549+D716)/D49)</f>
        <v>0</v>
      </c>
      <c r="E883" s="30">
        <f>IF(E49&lt;1,-(E215+E382+E549+E716),-(E215+E382+'3. General Model Inputs'!$D$53*E549+E716)/E49)</f>
        <v>0</v>
      </c>
      <c r="F883" s="30">
        <f>IF(F49&lt;1,-(F215+F382+F549+F716),-(F215+F382+'3. General Model Inputs'!$D$53*F549+F716)/F49)</f>
        <v>0</v>
      </c>
      <c r="G883" s="30">
        <f>IF(G49&lt;1,-(G215+G382+G549+G716),-(G215+G382+'3. General Model Inputs'!$D$53*G549+G716)/G49)</f>
        <v>0</v>
      </c>
      <c r="H883" s="30">
        <f>IF(H49&lt;1,-(H215+H382+H549+H716),-(H215+H382+'3. General Model Inputs'!$D$53*H549+H716)/H49)</f>
        <v>-270063.09999999998</v>
      </c>
    </row>
    <row r="884" spans="2:8">
      <c r="B884" s="152">
        <f t="shared" si="30"/>
        <v>0</v>
      </c>
      <c r="D884" s="30">
        <f>IF(D50&lt;1,-(D216+D383+D550+D717),-(D216+D383+'3. General Model Inputs'!$D$53*D550+D717)/D50)</f>
        <v>0</v>
      </c>
      <c r="E884" s="30">
        <f>IF(E50&lt;1,-(E216+E383+E550+E717),-(E216+E383+'3. General Model Inputs'!$D$53*E550+E717)/E50)</f>
        <v>0</v>
      </c>
      <c r="F884" s="30">
        <f>IF(F50&lt;1,-(F216+F383+F550+F717),-(F216+F383+'3. General Model Inputs'!$D$53*F550+F717)/F50)</f>
        <v>-34789.790807045363</v>
      </c>
      <c r="G884" s="30">
        <f>IF(G50&lt;1,-(G216+G383+G550+G717),-(G216+G383+'3. General Model Inputs'!$D$53*G550+G717)/G50)</f>
        <v>-70779.229572954355</v>
      </c>
      <c r="H884" s="30">
        <f>IF(H50&lt;1,-(H216+H383+H550+H717),-(H216+H383+'3. General Model Inputs'!$D$53*H550+H717)/H50)</f>
        <v>-70779.229572954355</v>
      </c>
    </row>
    <row r="885" spans="2:8">
      <c r="B885" s="152">
        <f t="shared" si="30"/>
        <v>0</v>
      </c>
      <c r="D885" s="30">
        <f>IF(D51&lt;1,-(D217+D384+D551+D718),-(D217+D384+'3. General Model Inputs'!$D$53*D551+D718)/D51)</f>
        <v>0</v>
      </c>
      <c r="E885" s="30">
        <f>IF(E51&lt;1,-(E217+E384+E551+E718),-(E217+E384+'3. General Model Inputs'!$D$53*E551+E718)/E51)</f>
        <v>0</v>
      </c>
      <c r="F885" s="30">
        <f>IF(F51&lt;1,-(F217+F384+F551+F718),-(F217+F384+'3. General Model Inputs'!$D$53*F551+F718)/F51)</f>
        <v>0</v>
      </c>
      <c r="G885" s="30">
        <f>IF(G51&lt;1,-(G217+G384+G551+G718),-(G217+G384+'3. General Model Inputs'!$D$53*G551+G718)/G51)</f>
        <v>-89238.061259198308</v>
      </c>
      <c r="H885" s="30">
        <f>IF(H51&lt;1,-(H217+H384+H551+H718),-(H217+H384+'3. General Model Inputs'!$D$53*H551+H718)/H51)</f>
        <v>-181553.29704457588</v>
      </c>
    </row>
    <row r="886" spans="2:8">
      <c r="B886" s="152">
        <f t="shared" si="30"/>
        <v>0</v>
      </c>
      <c r="D886" s="30">
        <f>IF(D52&lt;1,-(D218+D385+D552+D719),-(D218+D385+'3. General Model Inputs'!$D$53*D552+D719)/D52)</f>
        <v>0</v>
      </c>
      <c r="E886" s="30">
        <f>IF(E52&lt;1,-(E218+E385+E552+E719),-(E218+E385+'3. General Model Inputs'!$D$53*E552+E719)/E52)</f>
        <v>0</v>
      </c>
      <c r="F886" s="30">
        <f>IF(F52&lt;1,-(F218+F385+F552+F719),-(F218+F385+'3. General Model Inputs'!$D$53*F552+F719)/F52)</f>
        <v>0</v>
      </c>
      <c r="G886" s="30">
        <f>IF(G52&lt;1,-(G218+G385+G552+G719),-(G218+G385+'3. General Model Inputs'!$D$53*G552+G719)/G52)</f>
        <v>0</v>
      </c>
      <c r="H886" s="30">
        <f>IF(H52&lt;1,-(H218+H385+H552+H719),-(H218+H385+'3. General Model Inputs'!$D$53*H552+H719)/H52)</f>
        <v>-161302.99368853599</v>
      </c>
    </row>
    <row r="887" spans="2:8">
      <c r="B887" s="152">
        <f t="shared" si="30"/>
        <v>0</v>
      </c>
      <c r="D887" s="30">
        <f>IF(D53&lt;1,-(D219+D386+D553+D720),-(D219+D386+'3. General Model Inputs'!$D$53*D553+D720)/D53)</f>
        <v>0</v>
      </c>
      <c r="E887" s="30">
        <f>IF(E53&lt;1,-(E219+E386+E553+E720),-(E219+E386+'3. General Model Inputs'!$D$53*E553+E720)/E53)</f>
        <v>0</v>
      </c>
      <c r="F887" s="30">
        <f>IF(F53&lt;1,-(F219+F386+F553+F720),-(F219+F386+'3. General Model Inputs'!$D$53*F553+F720)/F53)</f>
        <v>-6751.5749999999998</v>
      </c>
      <c r="G887" s="30">
        <f>IF(G53&lt;1,-(G219+G386+G553+G720),-(G219+G386+'3. General Model Inputs'!$D$53*G553+G720)/G53)</f>
        <v>-13588.612974683545</v>
      </c>
      <c r="H887" s="30">
        <f>IF(H53&lt;1,-(H219+H386+H553+H720),-(H219+H386+'3. General Model Inputs'!$D$53*H553+H720)/H53)</f>
        <v>-13588.612974683545</v>
      </c>
    </row>
    <row r="888" spans="2:8">
      <c r="B888" s="152">
        <f t="shared" si="30"/>
        <v>0</v>
      </c>
      <c r="D888" s="30">
        <f>IF(D54&lt;1,-(D220+D387+D554+D721),-(D220+D387+'3. General Model Inputs'!$D$53*D554+D721)/D54)</f>
        <v>0</v>
      </c>
      <c r="E888" s="30">
        <f>IF(E54&lt;1,-(E220+E387+E554+E721),-(E220+E387+'3. General Model Inputs'!$D$53*E554+E721)/E54)</f>
        <v>0</v>
      </c>
      <c r="F888" s="30">
        <f>IF(F54&lt;1,-(F220+F387+F554+F721),-(F220+F387+'3. General Model Inputs'!$D$53*F554+F721)/F54)</f>
        <v>0</v>
      </c>
      <c r="G888" s="30">
        <f>IF(G54&lt;1,-(G220+G387+G554+G721),-(G220+G387+'3. General Model Inputs'!$D$53*G554+G721)/G54)</f>
        <v>-48590.59375</v>
      </c>
      <c r="H888" s="30">
        <f>IF(H54&lt;1,-(H220+H387+H554+H721),-(H220+H387+'3. General Model Inputs'!$D$53*H554+H721)/H54)</f>
        <v>-97796.25830696203</v>
      </c>
    </row>
    <row r="889" spans="2:8">
      <c r="B889" s="152">
        <f t="shared" si="30"/>
        <v>0</v>
      </c>
      <c r="D889" s="30">
        <f>IF(D55&lt;1,-(D221+D388+D555+D722),-(D221+D388+'3. General Model Inputs'!$D$53*D555+D722)/D55)</f>
        <v>0</v>
      </c>
      <c r="E889" s="30">
        <f>IF(E55&lt;1,-(E221+E388+E555+E722),-(E221+E388+'3. General Model Inputs'!$D$53*E555+E722)/E55)</f>
        <v>0</v>
      </c>
      <c r="F889" s="30">
        <f>IF(F55&lt;1,-(F221+F388+F555+F722),-(F221+F388+'3. General Model Inputs'!$D$53*F555+F722)/F55)</f>
        <v>0</v>
      </c>
      <c r="G889" s="30">
        <f>IF(G55&lt;1,-(G221+G388+G555+G722),-(G221+G388+'3. General Model Inputs'!$D$53*G555+G722)/G55)</f>
        <v>0</v>
      </c>
      <c r="H889" s="30">
        <f>IF(H55&lt;1,-(H221+H388+H555+H722),-(H221+H388+'3. General Model Inputs'!$D$53*H555+H722)/H55)</f>
        <v>-29344.918750000001</v>
      </c>
    </row>
    <row r="890" spans="2:8">
      <c r="B890" s="152">
        <f t="shared" si="30"/>
        <v>0</v>
      </c>
      <c r="D890" s="30">
        <f>IF(D56&lt;1,-(D222+D389+D556+D723),-(D222+D389+'3. General Model Inputs'!$D$53*D556+D723)/D56)</f>
        <v>0</v>
      </c>
      <c r="E890" s="30">
        <f>IF(E56&lt;1,-(E222+E389+E556+E723),-(E222+E389+'3. General Model Inputs'!$D$53*E556+E723)/E56)</f>
        <v>0</v>
      </c>
      <c r="F890" s="30">
        <f>IF(F56&lt;1,-(F222+F389+F556+F723),-(F222+F389+'3. General Model Inputs'!$D$53*F556+F723)/F56)</f>
        <v>-6301.4750000000004</v>
      </c>
      <c r="G890" s="30">
        <f>IF(G56&lt;1,-(G222+G389+G556+G723),-(G222+G389+'3. General Model Inputs'!$D$53*G556+G723)/G56)</f>
        <v>-12709.75466101695</v>
      </c>
      <c r="H890" s="30">
        <f>IF(H56&lt;1,-(H222+H389+H556+H723),-(H222+H389+'3. General Model Inputs'!$D$53*H556+H723)/H56)</f>
        <v>-12709.754661016948</v>
      </c>
    </row>
    <row r="891" spans="2:8">
      <c r="B891" s="152">
        <f t="shared" si="30"/>
        <v>0</v>
      </c>
      <c r="D891" s="30">
        <f>IF(D57&lt;1,-(D223+D390+D557+D724),-(D223+D390+'3. General Model Inputs'!$D$53*D557+D724)/D57)</f>
        <v>0</v>
      </c>
      <c r="E891" s="30">
        <f>IF(E57&lt;1,-(E223+E390+E557+E724),-(E223+E390+'3. General Model Inputs'!$D$53*E557+E724)/E57)</f>
        <v>0</v>
      </c>
      <c r="F891" s="30">
        <f>IF(F57&lt;1,-(F223+F390+F557+F724),-(F223+F390+'3. General Model Inputs'!$D$53*F557+F724)/F57)</f>
        <v>0</v>
      </c>
      <c r="G891" s="30">
        <f>IF(G57&lt;1,-(G223+G390+G557+G724),-(G223+G390+'3. General Model Inputs'!$D$53*G557+G724)/G57)</f>
        <v>-47879.691666666666</v>
      </c>
      <c r="H891" s="30">
        <f>IF(H57&lt;1,-(H223+H390+H557+H724),-(H223+H390+'3. General Model Inputs'!$D$53*H557+H724)/H57)</f>
        <v>-96570.903531073447</v>
      </c>
    </row>
    <row r="892" spans="2:8">
      <c r="B892" s="152">
        <f t="shared" si="30"/>
        <v>0</v>
      </c>
      <c r="D892" s="30">
        <f>IF(D58&lt;1,-(D224+D391+D558+D725),-(D224+D391+'3. General Model Inputs'!$D$53*D558+D725)/D58)</f>
        <v>0</v>
      </c>
      <c r="E892" s="30">
        <f>IF(E58&lt;1,-(E224+E391+E558+E725),-(E224+E391+'3. General Model Inputs'!$D$53*E558+E725)/E58)</f>
        <v>0</v>
      </c>
      <c r="F892" s="30">
        <f>IF(F58&lt;1,-(F224+F391+F558+F725),-(F224+F391+'3. General Model Inputs'!$D$53*F558+F725)/F58)</f>
        <v>0</v>
      </c>
      <c r="G892" s="30">
        <f>IF(G58&lt;1,-(G224+G391+G558+G725),-(G224+G391+'3. General Model Inputs'!$D$53*G558+G725)/G58)</f>
        <v>0</v>
      </c>
      <c r="H892" s="30">
        <f>IF(H58&lt;1,-(H224+H391+H558+H725),-(H224+H391+'3. General Model Inputs'!$D$53*H558+H725)/H58)</f>
        <v>-40990.775000000001</v>
      </c>
    </row>
    <row r="893" spans="2:8">
      <c r="B893" s="152">
        <f t="shared" si="30"/>
        <v>0</v>
      </c>
      <c r="D893" s="30">
        <f>IF(D59&lt;1,-(D225+D392+D559+D726),-(D225+D392+'3. General Model Inputs'!$D$53*D559+D726)/D59)</f>
        <v>0</v>
      </c>
      <c r="E893" s="30">
        <f>IF(E59&lt;1,-(E225+E392+E559+E726),-(E225+E392+'3. General Model Inputs'!$D$53*E559+E726)/E59)</f>
        <v>-47353.45</v>
      </c>
      <c r="F893" s="30">
        <f>IF(F59&lt;1,-(F225+F392+F559+F726),-(F225+F392+'3. General Model Inputs'!$D$53*F559+F726)/F59)</f>
        <v>-99968.39444444445</v>
      </c>
      <c r="G893" s="30">
        <f>IF(G59&lt;1,-(G225+G392+G559+G726),-(G225+G392+'3. General Model Inputs'!$D$53*G559+G726)/G59)</f>
        <v>-99968.39444444445</v>
      </c>
      <c r="H893" s="30">
        <f>IF(H59&lt;1,-(H225+H392+H559+H726),-(H225+H392+'3. General Model Inputs'!$D$53*H559+H726)/H59)</f>
        <v>-99968.39444444445</v>
      </c>
    </row>
    <row r="894" spans="2:8">
      <c r="B894" s="152">
        <f t="shared" si="30"/>
        <v>0</v>
      </c>
      <c r="D894" s="30">
        <f>IF(D60&lt;1,-(D226+D393+D560+D727),-(D226+D393+'3. General Model Inputs'!$D$53*D560+D727)/D60)</f>
        <v>0</v>
      </c>
      <c r="E894" s="30">
        <f>IF(E60&lt;1,-(E226+E393+E560+E727),-(E226+E393+'3. General Model Inputs'!$D$53*E560+E727)/E60)</f>
        <v>0</v>
      </c>
      <c r="F894" s="30">
        <f>IF(F60&lt;1,-(F226+F393+F560+F727),-(F226+F393+'3. General Model Inputs'!$D$53*F560+F727)/F60)</f>
        <v>-73822.649999999994</v>
      </c>
      <c r="G894" s="30">
        <f>IF(G60&lt;1,-(G226+G393+G560+G727),-(G226+G393+'3. General Model Inputs'!$D$53*G560+G727)/G60)</f>
        <v>-155847.81666666668</v>
      </c>
      <c r="H894" s="30">
        <f>IF(H60&lt;1,-(H226+H393+H560+H727),-(H226+H393+'3. General Model Inputs'!$D$53*H560+H727)/H60)</f>
        <v>-155847.81666666668</v>
      </c>
    </row>
    <row r="895" spans="2:8">
      <c r="B895" s="152">
        <f t="shared" si="30"/>
        <v>0</v>
      </c>
      <c r="D895" s="30">
        <f>IF(D61&lt;1,-(D227+D394+D561+D728),-(D227+D394+'3. General Model Inputs'!$D$53*D561+D728)/D61)</f>
        <v>0</v>
      </c>
      <c r="E895" s="30">
        <f>IF(E61&lt;1,-(E227+E394+E561+E728),-(E227+E394+'3. General Model Inputs'!$D$53*E561+E728)/E61)</f>
        <v>0</v>
      </c>
      <c r="F895" s="30">
        <f>IF(F61&lt;1,-(F227+F394+F561+F728),-(F227+F394+'3. General Model Inputs'!$D$53*F561+F728)/F61)</f>
        <v>0</v>
      </c>
      <c r="G895" s="30">
        <f>IF(G61&lt;1,-(G227+G394+G561+G728),-(G227+G394+'3. General Model Inputs'!$D$53*G561+G728)/G61)</f>
        <v>-76442.2</v>
      </c>
      <c r="H895" s="30">
        <f>IF(H61&lt;1,-(H227+H394+H561+H728),-(H227+H394+'3. General Model Inputs'!$D$53*H561+H728)/H61)</f>
        <v>-161377.97777777779</v>
      </c>
    </row>
    <row r="896" spans="2:8">
      <c r="B896" s="152">
        <f t="shared" si="30"/>
        <v>0</v>
      </c>
      <c r="D896" s="30">
        <f>IF(D62&lt;1,-(D228+D395+D562+D729),-(D228+D395+'3. General Model Inputs'!$D$53*D562+D729)/D62)</f>
        <v>0</v>
      </c>
      <c r="E896" s="30">
        <f>IF(E62&lt;1,-(E228+E395+E562+E729),-(E228+E395+'3. General Model Inputs'!$D$53*E562+E729)/E62)</f>
        <v>0</v>
      </c>
      <c r="F896" s="30">
        <f>IF(F62&lt;1,-(F228+F395+F562+F729),-(F228+F395+'3. General Model Inputs'!$D$53*F562+F729)/F62)</f>
        <v>0</v>
      </c>
      <c r="G896" s="30">
        <f>IF(G62&lt;1,-(G228+G395+G562+G729),-(G228+G395+'3. General Model Inputs'!$D$53*G562+G729)/G62)</f>
        <v>0</v>
      </c>
      <c r="H896" s="30">
        <f>IF(H62&lt;1,-(H228+H395+H562+H729),-(H228+H395+'3. General Model Inputs'!$D$53*H562+H729)/H62)</f>
        <v>-57150.35</v>
      </c>
    </row>
    <row r="897" spans="2:8">
      <c r="B897" s="152">
        <f t="shared" si="30"/>
        <v>0</v>
      </c>
      <c r="D897" s="30">
        <f>IF(D63&lt;1,-(D229+D396+D563+D730),-(D229+D396+'3. General Model Inputs'!$D$53*D563+D730)/D63)</f>
        <v>0</v>
      </c>
      <c r="E897" s="30">
        <f>IF(E63&lt;1,-(E229+E396+E563+E730),-(E229+E396+'3. General Model Inputs'!$D$53*E563+E730)/E63)</f>
        <v>0</v>
      </c>
      <c r="F897" s="30">
        <f>IF(F63&lt;1,-(F229+F396+F563+F730),-(F229+F396+'3. General Model Inputs'!$D$53*F563+F730)/F63)</f>
        <v>-8822.0666666666675</v>
      </c>
      <c r="G897" s="30">
        <f>IF(G63&lt;1,-(G229+G396+G563+G730),-(G229+G396+'3. General Model Inputs'!$D$53*G563+G730)/G63)</f>
        <v>-17948.342528735633</v>
      </c>
      <c r="H897" s="30">
        <f>IF(H63&lt;1,-(H229+H396+H563+H730),-(H229+H396+'3. General Model Inputs'!$D$53*H563+H730)/H63)</f>
        <v>-17948.342528735633</v>
      </c>
    </row>
    <row r="898" spans="2:8">
      <c r="B898" s="152">
        <f t="shared" si="30"/>
        <v>0</v>
      </c>
      <c r="D898" s="30">
        <f>IF(D64&lt;1,-(D230+D397+D564+D731),-(D230+D397+'3. General Model Inputs'!$D$53*D564+D731)/D64)</f>
        <v>0</v>
      </c>
      <c r="E898" s="30">
        <f>IF(E64&lt;1,-(E230+E397+E564+E731),-(E230+E397+'3. General Model Inputs'!$D$53*E564+E731)/E64)</f>
        <v>0</v>
      </c>
      <c r="F898" s="30">
        <f>IF(F64&lt;1,-(F230+F397+F564+F731),-(F230+F397+'3. General Model Inputs'!$D$53*F564+F731)/F64)</f>
        <v>0</v>
      </c>
      <c r="G898" s="30">
        <f>IF(G64&lt;1,-(G230+G397+G564+G731),-(G230+G397+'3. General Model Inputs'!$D$53*G564+G731)/G64)</f>
        <v>-69415.133333333331</v>
      </c>
      <c r="H898" s="30">
        <f>IF(H64&lt;1,-(H230+H397+H564+H731),-(H230+H397+'3. General Model Inputs'!$D$53*H564+H731)/H64)</f>
        <v>-141223.89195402298</v>
      </c>
    </row>
    <row r="899" spans="2:8">
      <c r="B899" s="152">
        <f t="shared" si="30"/>
        <v>0</v>
      </c>
      <c r="D899" s="30">
        <f>IF(D65&lt;1,-(D231+D398+D565+D732),-(D231+D398+'3. General Model Inputs'!$D$53*D565+D732)/D65)</f>
        <v>-52643.13216666667</v>
      </c>
      <c r="E899" s="30">
        <f>IF(E65&lt;1,-(E231+E398+E565+E732),-(E231+E398+'3. General Model Inputs'!$D$53*E565+E732)/E65)</f>
        <v>-107101.54475287358</v>
      </c>
      <c r="F899" s="30">
        <f>IF(F65&lt;1,-(F231+F398+F565+F732),-(F231+F398+'3. General Model Inputs'!$D$53*F565+F732)/F65)</f>
        <v>-107101.54475287358</v>
      </c>
      <c r="G899" s="30">
        <f>IF(G65&lt;1,-(G231+G398+G565+G732),-(G231+G398+'3. General Model Inputs'!$D$53*G565+G732)/G65)</f>
        <v>-107101.54475287358</v>
      </c>
      <c r="H899" s="30">
        <f>IF(H65&lt;1,-(H231+H398+H565+H732),-(H231+H398+'3. General Model Inputs'!$D$53*H565+H732)/H65)</f>
        <v>-107101.54475287358</v>
      </c>
    </row>
    <row r="900" spans="2:8">
      <c r="B900" s="152">
        <f t="shared" si="30"/>
        <v>0</v>
      </c>
      <c r="D900" s="30">
        <f>IF(D66&lt;1,-(D232+D399+D566+D733),-(D232+D399+'3. General Model Inputs'!$D$53*D566+D733)/D66)</f>
        <v>0</v>
      </c>
      <c r="E900" s="30">
        <f>IF(E66&lt;1,-(E232+E399+E566+E733),-(E232+E399+'3. General Model Inputs'!$D$53*E566+E733)/E66)</f>
        <v>-16020.961166666666</v>
      </c>
      <c r="F900" s="30">
        <f>IF(F66&lt;1,-(F232+F399+F566+F733),-(F232+F399+'3. General Model Inputs'!$D$53*F566+F733)/F66)</f>
        <v>-32594.369270114938</v>
      </c>
      <c r="G900" s="30">
        <f>IF(G66&lt;1,-(G232+G399+G566+G733),-(G232+G399+'3. General Model Inputs'!$D$53*G566+G733)/G66)</f>
        <v>-32594.369270114938</v>
      </c>
      <c r="H900" s="30">
        <f>IF(H66&lt;1,-(H232+H399+H566+H733),-(H232+H399+'3. General Model Inputs'!$D$53*H566+H733)/H66)</f>
        <v>-32594.369270114941</v>
      </c>
    </row>
    <row r="901" spans="2:8">
      <c r="B901" s="152">
        <f t="shared" si="30"/>
        <v>0</v>
      </c>
      <c r="D901" s="30">
        <f>IF(D67&lt;1,-(D233+D400+D567+D734),-(D233+D400+'3. General Model Inputs'!$D$53*D567+D734)/D67)</f>
        <v>-27257.536499999995</v>
      </c>
      <c r="E901" s="30">
        <f>IF(E67&lt;1,-(E233+E400+E567+E734),-(E233+E400+'3. General Model Inputs'!$D$53*E567+E734)/E67)</f>
        <v>-55454.988051724133</v>
      </c>
      <c r="F901" s="30">
        <f>IF(F67&lt;1,-(F233+F400+F567+F734),-(F233+F400+'3. General Model Inputs'!$D$53*F567+F734)/F67)</f>
        <v>-55454.988051724133</v>
      </c>
      <c r="G901" s="30">
        <f>IF(G67&lt;1,-(G233+G400+G567+G734),-(G233+G400+'3. General Model Inputs'!$D$53*G567+G734)/G67)</f>
        <v>-55454.988051724125</v>
      </c>
      <c r="H901" s="30">
        <f>IF(H67&lt;1,-(H233+H400+H567+H734),-(H233+H400+'3. General Model Inputs'!$D$53*H567+H734)/H67)</f>
        <v>-55454.988051724125</v>
      </c>
    </row>
    <row r="902" spans="2:8">
      <c r="B902" s="152">
        <f t="shared" si="30"/>
        <v>0</v>
      </c>
      <c r="D902" s="30">
        <f>IF(D68&lt;1,-(D234+D401+D568+D735),-(D234+D401+'3. General Model Inputs'!$D$53*D568+D735)/D68)</f>
        <v>0</v>
      </c>
      <c r="E902" s="30">
        <f>IF(E68&lt;1,-(E234+E401+E568+E735),-(E234+E401+'3. General Model Inputs'!$D$53*E568+E735)/E68)</f>
        <v>-34621.039833333329</v>
      </c>
      <c r="F902" s="30">
        <f>IF(F68&lt;1,-(F234+F401+F568+F735),-(F234+F401+'3. General Model Inputs'!$D$53*F568+F735)/F68)</f>
        <v>-70435.90862643678</v>
      </c>
      <c r="G902" s="30">
        <f>IF(G68&lt;1,-(G234+G401+G568+G735),-(G234+G401+'3. General Model Inputs'!$D$53*G568+G735)/G68)</f>
        <v>-70435.90862643678</v>
      </c>
      <c r="H902" s="30">
        <f>IF(H68&lt;1,-(H234+H401+H568+H735),-(H234+H401+'3. General Model Inputs'!$D$53*H568+H735)/H68)</f>
        <v>-70435.90862643678</v>
      </c>
    </row>
    <row r="903" spans="2:8">
      <c r="B903" s="152">
        <f t="shared" si="30"/>
        <v>0</v>
      </c>
      <c r="D903" s="30">
        <f>IF(D69&lt;1,-(D235+D402+D569+D736),-(D235+D402+'3. General Model Inputs'!$D$53*D569+D736)/D69)</f>
        <v>0</v>
      </c>
      <c r="E903" s="30">
        <f>IF(E69&lt;1,-(E235+E402+E569+E736),-(E235+E402+'3. General Model Inputs'!$D$53*E569+E736)/E69)</f>
        <v>0</v>
      </c>
      <c r="F903" s="30">
        <f>IF(F69&lt;1,-(F235+F402+F569+F736),-(F235+F402+'3. General Model Inputs'!$D$53*F569+F736)/F69)</f>
        <v>-1681.6666666666667</v>
      </c>
      <c r="G903" s="30">
        <f>IF(G69&lt;1,-(G235+G402+G569+G736),-(G235+G402+'3. General Model Inputs'!$D$53*G569+G736)/G69)</f>
        <v>-3421.3218390804595</v>
      </c>
      <c r="H903" s="30">
        <f>IF(H69&lt;1,-(H235+H402+H569+H736),-(H235+H402+'3. General Model Inputs'!$D$53*H569+H736)/H69)</f>
        <v>-3421.32183908046</v>
      </c>
    </row>
    <row r="904" spans="2:8">
      <c r="B904" s="152">
        <f t="shared" si="30"/>
        <v>0</v>
      </c>
      <c r="D904" s="30">
        <f>IF(D70&lt;1,-(D236+D403+D570+D737),-(D236+D403+'3. General Model Inputs'!$D$53*D570+D737)/D70)</f>
        <v>-9970.5581250000014</v>
      </c>
      <c r="E904" s="30">
        <f>IF(E70&lt;1,-(E236+E403+E570+E737),-(E236+E403+'3. General Model Inputs'!$D$53*E570+E737)/E70)</f>
        <v>-20067.32584651899</v>
      </c>
      <c r="F904" s="30">
        <f>IF(F70&lt;1,-(F236+F403+F570+F737),-(F236+F403+'3. General Model Inputs'!$D$53*F570+F737)/F70)</f>
        <v>-20067.32584651899</v>
      </c>
      <c r="G904" s="30">
        <f>IF(G70&lt;1,-(G236+G403+G570+G737),-(G236+G403+'3. General Model Inputs'!$D$53*G570+G737)/G70)</f>
        <v>-20067.32584651899</v>
      </c>
      <c r="H904" s="30">
        <f>IF(H70&lt;1,-(H236+H403+H570+H737),-(H236+H403+'3. General Model Inputs'!$D$53*H570+H737)/H70)</f>
        <v>-20067.325846518987</v>
      </c>
    </row>
    <row r="905" spans="2:8">
      <c r="B905" s="152">
        <f t="shared" si="30"/>
        <v>0</v>
      </c>
      <c r="D905" s="30">
        <f>IF(D71&lt;1,-(D237+D404+D571+D738),-(D237+D404+'3. General Model Inputs'!$D$53*D571+D738)/D71)</f>
        <v>0</v>
      </c>
      <c r="E905" s="30">
        <f>IF(E71&lt;1,-(E237+E404+E571+E738),-(E237+E404+'3. General Model Inputs'!$D$53*E571+E738)/E71)</f>
        <v>-13456.039312500001</v>
      </c>
      <c r="F905" s="30">
        <f>IF(F71&lt;1,-(F237+F404+F571+F738),-(F237+F404+'3. General Model Inputs'!$D$53*F571+F738)/F71)</f>
        <v>-27082.408236550633</v>
      </c>
      <c r="G905" s="30">
        <f>IF(G71&lt;1,-(G237+G404+G571+G738),-(G237+G404+'3. General Model Inputs'!$D$53*G571+G738)/G71)</f>
        <v>-27082.408236550633</v>
      </c>
      <c r="H905" s="30">
        <f>IF(H71&lt;1,-(H237+H404+H571+H738),-(H237+H404+'3. General Model Inputs'!$D$53*H571+H738)/H71)</f>
        <v>-27082.408236550633</v>
      </c>
    </row>
    <row r="906" spans="2:8">
      <c r="B906" s="152">
        <f t="shared" si="30"/>
        <v>0</v>
      </c>
      <c r="D906" s="30">
        <f>IF(D72&lt;1,-(D238+D405+D572+D739),-(D238+D405+'3. General Model Inputs'!$D$53*D572+D739)/D72)</f>
        <v>0</v>
      </c>
      <c r="E906" s="30">
        <f>IF(E72&lt;1,-(E238+E405+E572+E739),-(E238+E405+'3. General Model Inputs'!$D$53*E572+E739)/E72)</f>
        <v>0</v>
      </c>
      <c r="F906" s="30">
        <f>IF(F72&lt;1,-(F238+F405+F572+F739),-(F238+F405+'3. General Model Inputs'!$D$53*F572+F739)/F72)</f>
        <v>-13503.15</v>
      </c>
      <c r="G906" s="30">
        <f>IF(G72&lt;1,-(G238+G405+G572+G739),-(G238+G405+'3. General Model Inputs'!$D$53*G572+G739)/G72)</f>
        <v>-27716.992105263158</v>
      </c>
      <c r="H906" s="30">
        <f>IF(H72&lt;1,-(H238+H405+H572+H739),-(H238+H405+'3. General Model Inputs'!$D$53*H572+H739)/H72)</f>
        <v>-27716.992105263154</v>
      </c>
    </row>
    <row r="907" spans="2:8">
      <c r="B907" s="152">
        <f t="shared" si="30"/>
        <v>0</v>
      </c>
      <c r="D907" s="30">
        <f>IF(D73&lt;1,-(D239+D406+D573+D740),-(D239+D406+'3. General Model Inputs'!$D$53*D573+D740)/D73)</f>
        <v>0</v>
      </c>
      <c r="E907" s="30">
        <f>IF(E73&lt;1,-(E239+E406+E573+E740),-(E239+E406+'3. General Model Inputs'!$D$53*E573+E740)/E73)</f>
        <v>0</v>
      </c>
      <c r="F907" s="30">
        <f>IF(F73&lt;1,-(F239+F406+F573+F740),-(F239+F406+'3. General Model Inputs'!$D$53*F573+F740)/F73)</f>
        <v>0</v>
      </c>
      <c r="G907" s="30">
        <f>IF(G73&lt;1,-(G239+G406+G573+G740),-(G239+G406+'3. General Model Inputs'!$D$53*G573+G740)/G73)</f>
        <v>-39566.625</v>
      </c>
      <c r="H907" s="30">
        <f>IF(H73&lt;1,-(H239+H406+H573+H740),-(H239+H406+'3. General Model Inputs'!$D$53*H573+H740)/H73)</f>
        <v>-81215.703947368427</v>
      </c>
    </row>
    <row r="908" spans="2:8">
      <c r="B908" s="152">
        <f t="shared" si="30"/>
        <v>0</v>
      </c>
      <c r="D908" s="30">
        <f>IF(D74&lt;1,-(D240+D407+D574+D741),-(D240+D407+'3. General Model Inputs'!$D$53*D574+D741)/D74)</f>
        <v>0</v>
      </c>
      <c r="E908" s="30">
        <f>IF(E74&lt;1,-(E240+E407+E574+E741),-(E240+E407+'3. General Model Inputs'!$D$53*E574+E741)/E74)</f>
        <v>0</v>
      </c>
      <c r="F908" s="30">
        <f>IF(F74&lt;1,-(F240+F407+F574+F741),-(F240+F407+'3. General Model Inputs'!$D$53*F574+F741)/F74)</f>
        <v>0</v>
      </c>
      <c r="G908" s="30">
        <f>IF(G74&lt;1,-(G240+G407+G574+G741),-(G240+G407+'3. General Model Inputs'!$D$53*G574+G741)/G74)</f>
        <v>0</v>
      </c>
      <c r="H908" s="30">
        <f>IF(H74&lt;1,-(H240+H407+H574+H741),-(H240+H407+'3. General Model Inputs'!$D$53*H574+H741)/H74)</f>
        <v>-28575.174999999999</v>
      </c>
    </row>
    <row r="909" spans="2:8">
      <c r="B909" s="152">
        <f t="shared" si="30"/>
        <v>0</v>
      </c>
      <c r="D909" s="30">
        <f>IF(D75&lt;1,-(D241+D408+D575+D742),-(D241+D408+'3. General Model Inputs'!$D$53*D575+D742)/D75)</f>
        <v>-4437.1767500000005</v>
      </c>
      <c r="E909" s="30">
        <f>IF(E75&lt;1,-(E241+E408+E575+E742),-(E241+E408+'3. General Model Inputs'!$D$53*E575+E742)/E75)</f>
        <v>-9107.8891184210515</v>
      </c>
      <c r="F909" s="30">
        <f>IF(F75&lt;1,-(F241+F408+F575+F742),-(F241+F408+'3. General Model Inputs'!$D$53*F575+F742)/F75)</f>
        <v>-9107.8891184210534</v>
      </c>
      <c r="G909" s="30">
        <f>IF(G75&lt;1,-(G241+G408+G575+G742),-(G241+G408+'3. General Model Inputs'!$D$53*G575+G742)/G75)</f>
        <v>-9107.8891184210515</v>
      </c>
      <c r="H909" s="30">
        <f>IF(H75&lt;1,-(H241+H408+H575+H742),-(H241+H408+'3. General Model Inputs'!$D$53*H575+H742)/H75)</f>
        <v>-9107.8891184210515</v>
      </c>
    </row>
    <row r="910" spans="2:8">
      <c r="B910" s="152">
        <f t="shared" si="30"/>
        <v>0</v>
      </c>
      <c r="D910" s="30">
        <f>IF(D76&lt;1,-(D242+D409+D576+D743),-(D242+D409+'3. General Model Inputs'!$D$53*D576+D743)/D76)</f>
        <v>0</v>
      </c>
      <c r="E910" s="30">
        <f>IF(E76&lt;1,-(E242+E409+E576+E743),-(E242+E409+'3. General Model Inputs'!$D$53*E576+E743)/E76)</f>
        <v>-5811.3190000000004</v>
      </c>
      <c r="F910" s="30">
        <f>IF(F76&lt;1,-(F242+F409+F576+F743),-(F242+F409+'3. General Model Inputs'!$D$53*F576+F743)/F76)</f>
        <v>-11928.496894736843</v>
      </c>
      <c r="G910" s="30">
        <f>IF(G76&lt;1,-(G242+G409+G576+G743),-(G242+G409+'3. General Model Inputs'!$D$53*G576+G743)/G76)</f>
        <v>-11928.496894736843</v>
      </c>
      <c r="H910" s="30">
        <f>IF(H76&lt;1,-(H242+H409+H576+H743),-(H242+H409+'3. General Model Inputs'!$D$53*H576+H743)/H76)</f>
        <v>-11928.496894736845</v>
      </c>
    </row>
    <row r="911" spans="2:8">
      <c r="B911" s="152">
        <f t="shared" si="30"/>
        <v>0</v>
      </c>
      <c r="D911" s="30">
        <f>IF(D77&lt;1,-(D243+D410+D577+D744),-(D243+D410+'3. General Model Inputs'!$D$53*D577+D744)/D77)</f>
        <v>0</v>
      </c>
      <c r="E911" s="30">
        <f>IF(E77&lt;1,-(E243+E410+E577+E744),-(E243+E410+'3. General Model Inputs'!$D$53*E577+E744)/E77)</f>
        <v>0</v>
      </c>
      <c r="F911" s="30">
        <f>IF(F77&lt;1,-(F243+F410+F577+F744),-(F243+F410+'3. General Model Inputs'!$D$53*F577+F744)/F77)</f>
        <v>-57734.974999999999</v>
      </c>
      <c r="G911" s="30">
        <f>IF(G77&lt;1,-(G243+G410+G577+G744),-(G243+G410+'3. General Model Inputs'!$D$53*G577+G744)/G77)</f>
        <v>-118508.63289473683</v>
      </c>
      <c r="H911" s="30">
        <f>IF(H77&lt;1,-(H243+H410+H577+H744),-(H243+H410+'3. General Model Inputs'!$D$53*H577+H744)/H77)</f>
        <v>-118508.63289473685</v>
      </c>
    </row>
    <row r="912" spans="2:8">
      <c r="B912" s="152">
        <f t="shared" si="30"/>
        <v>0</v>
      </c>
      <c r="D912" s="30">
        <f>IF(D78&lt;1,-(D244+D411+D578+D745),-(D244+D411+'3. General Model Inputs'!$D$53*D578+D745)/D78)</f>
        <v>0</v>
      </c>
      <c r="E912" s="30">
        <f>IF(E78&lt;1,-(E244+E411+E578+E745),-(E244+E411+'3. General Model Inputs'!$D$53*E578+E745)/E78)</f>
        <v>0</v>
      </c>
      <c r="F912" s="30">
        <f>IF(F78&lt;1,-(F244+F411+F578+F745),-(F244+F411+'3. General Model Inputs'!$D$53*F578+F745)/F78)</f>
        <v>0</v>
      </c>
      <c r="G912" s="30">
        <f>IF(G78&lt;1,-(G244+G411+G578+G745),-(G244+G411+'3. General Model Inputs'!$D$53*G578+G745)/G78)</f>
        <v>-3627.9250000000002</v>
      </c>
      <c r="H912" s="30">
        <f>IF(H78&lt;1,-(H244+H411+H578+H745),-(H244+H411+'3. General Model Inputs'!$D$53*H578+H745)/H78)</f>
        <v>-7446.7934210526319</v>
      </c>
    </row>
    <row r="913" spans="2:8">
      <c r="B913" s="152">
        <f t="shared" si="30"/>
        <v>0</v>
      </c>
      <c r="D913" s="30">
        <f>IF(D79&lt;1,-(D245+D412+D579+D746),-(D245+D412+'3. General Model Inputs'!$D$53*D579+D746)/D79)</f>
        <v>0</v>
      </c>
      <c r="E913" s="30">
        <f>IF(E79&lt;1,-(E245+E412+E579+E746),-(E245+E412+'3. General Model Inputs'!$D$53*E579+E746)/E79)</f>
        <v>0</v>
      </c>
      <c r="F913" s="30">
        <f>IF(F79&lt;1,-(F245+F412+F579+F746),-(F245+F412+'3. General Model Inputs'!$D$53*F579+F746)/F79)</f>
        <v>0</v>
      </c>
      <c r="G913" s="30">
        <f>IF(G79&lt;1,-(G245+G412+G579+G746),-(G245+G412+'3. General Model Inputs'!$D$53*G579+G746)/G79)</f>
        <v>-8676.8937499999993</v>
      </c>
      <c r="H913" s="30">
        <f>IF(H79&lt;1,-(H245+H412+H579+H746),-(H245+H412+'3. General Model Inputs'!$D$53*H579+H746)/H79)</f>
        <v>-17463.621598101265</v>
      </c>
    </row>
    <row r="914" spans="2:8">
      <c r="B914" s="152">
        <f t="shared" si="30"/>
        <v>0</v>
      </c>
      <c r="D914" s="30">
        <f>IF(D80&lt;1,-(D246+D413+D580+D747),-(D246+D413+'3. General Model Inputs'!$D$53*D580+D747)/D80)</f>
        <v>0</v>
      </c>
      <c r="E914" s="30">
        <f>IF(E80&lt;1,-(E246+E413+E580+E747),-(E246+E413+'3. General Model Inputs'!$D$53*E580+E747)/E80)</f>
        <v>0</v>
      </c>
      <c r="F914" s="30">
        <f>IF(F80&lt;1,-(F246+F413+F580+F747),-(F246+F413+'3. General Model Inputs'!$D$53*F580+F747)/F80)</f>
        <v>0</v>
      </c>
      <c r="G914" s="30">
        <f>IF(G80&lt;1,-(G246+G413+G580+G747),-(G246+G413+'3. General Model Inputs'!$D$53*G580+G747)/G80)</f>
        <v>0</v>
      </c>
      <c r="H914" s="30">
        <f>IF(H80&lt;1,-(H246+H413+H580+H747),-(H246+H413+'3. General Model Inputs'!$D$53*H580+H747)/H80)</f>
        <v>-8929.7437499999996</v>
      </c>
    </row>
    <row r="915" spans="2:8">
      <c r="B915" s="152">
        <f t="shared" si="30"/>
        <v>0</v>
      </c>
      <c r="D915" s="30">
        <f>IF(D81&lt;1,-(D247+D414+D581+D748),-(D247+D414+'3. General Model Inputs'!$D$53*D581+D748)/D81)</f>
        <v>-4077.85</v>
      </c>
      <c r="E915" s="30">
        <f>IF(E81&lt;1,-(E247+E414+E581+E748),-(E247+E414+'3. General Model Inputs'!$D$53*E581+E748)/E81)</f>
        <v>-8296.315517241379</v>
      </c>
      <c r="F915" s="30">
        <f>IF(F81&lt;1,-(F247+F414+F581+F748),-(F247+F414+'3. General Model Inputs'!$D$53*F581+F748)/F81)</f>
        <v>-8296.315517241379</v>
      </c>
      <c r="G915" s="30">
        <f>IF(G81&lt;1,-(G247+G414+G581+G748),-(G247+G414+'3. General Model Inputs'!$D$53*G581+G748)/G81)</f>
        <v>-8296.3155172413808</v>
      </c>
      <c r="H915" s="30">
        <f>IF(H81&lt;1,-(H247+H414+H581+H748),-(H247+H414+'3. General Model Inputs'!$D$53*H581+H748)/H81)</f>
        <v>-8296.3155172413808</v>
      </c>
    </row>
    <row r="916" spans="2:8">
      <c r="B916" s="152">
        <f t="shared" si="30"/>
        <v>0</v>
      </c>
      <c r="D916" s="30">
        <f>IF(D82&lt;1,-(D248+D415+D582+D749),-(D248+D415+'3. General Model Inputs'!$D$53*D582+D749)/D82)</f>
        <v>0</v>
      </c>
      <c r="E916" s="30">
        <f>IF(E82&lt;1,-(E248+E415+E582+E749),-(E248+E415+'3. General Model Inputs'!$D$53*E582+E749)/E82)</f>
        <v>-39496.283166666668</v>
      </c>
      <c r="F916" s="30">
        <f>IF(F82&lt;1,-(F248+F415+F582+F749),-(F248+F415+'3. General Model Inputs'!$D$53*F582+F749)/F82)</f>
        <v>-80354.50713218392</v>
      </c>
      <c r="G916" s="30">
        <f>IF(G82&lt;1,-(G248+G415+G582+G749),-(G248+G415+'3. General Model Inputs'!$D$53*G582+G749)/G82)</f>
        <v>-80354.50713218392</v>
      </c>
      <c r="H916" s="30">
        <f>IF(H82&lt;1,-(H248+H415+H582+H749),-(H248+H415+'3. General Model Inputs'!$D$53*H582+H749)/H82)</f>
        <v>-80354.507132183935</v>
      </c>
    </row>
    <row r="917" spans="2:8">
      <c r="B917" s="152">
        <f t="shared" si="30"/>
        <v>0</v>
      </c>
      <c r="D917" s="30">
        <f>IF(D83&lt;1,-(D249+D416+D583+D750),-(D249+D416+'3. General Model Inputs'!$D$53*D583+D750)/D83)</f>
        <v>0</v>
      </c>
      <c r="E917" s="30">
        <f>IF(E83&lt;1,-(E249+E416+E583+E750),-(E249+E416+'3. General Model Inputs'!$D$53*E583+E750)/E83)</f>
        <v>0</v>
      </c>
      <c r="F917" s="30">
        <f>IF(F83&lt;1,-(F249+F416+F583+F750),-(F249+F416+'3. General Model Inputs'!$D$53*F583+F750)/F83)</f>
        <v>-4501.05</v>
      </c>
      <c r="G917" s="30">
        <f>IF(G83&lt;1,-(G249+G416+G583+G750),-(G249+G416+'3. General Model Inputs'!$D$53*G583+G750)/G83)</f>
        <v>-9157.3086206896551</v>
      </c>
      <c r="H917" s="30">
        <f>IF(H83&lt;1,-(H249+H416+H583+H750),-(H249+H416+'3. General Model Inputs'!$D$53*H583+H750)/H83)</f>
        <v>-9157.3086206896551</v>
      </c>
    </row>
    <row r="918" spans="2:8">
      <c r="B918" s="152">
        <f t="shared" si="30"/>
        <v>0</v>
      </c>
      <c r="D918" s="30">
        <f>IF(D84&lt;1,-(D250+D417+D584+D751),-(D250+D417+'3. General Model Inputs'!$D$53*D584+D751)/D84)</f>
        <v>0</v>
      </c>
      <c r="E918" s="30">
        <f>IF(E84&lt;1,-(E250+E417+E584+E751),-(E250+E417+'3. General Model Inputs'!$D$53*E584+E751)/E84)</f>
        <v>0</v>
      </c>
      <c r="F918" s="30">
        <f>IF(F84&lt;1,-(F250+F417+F584+F751),-(F250+F417+'3. General Model Inputs'!$D$53*F584+F751)/F84)</f>
        <v>0</v>
      </c>
      <c r="G918" s="30">
        <f>IF(G84&lt;1,-(G250+G417+G584+G751),-(G250+G417+'3. General Model Inputs'!$D$53*G584+G751)/G84)</f>
        <v>-24295.3</v>
      </c>
      <c r="H918" s="30">
        <f>IF(H84&lt;1,-(H250+H417+H584+H751),-(H250+H417+'3. General Model Inputs'!$D$53*H584+H751)/H84)</f>
        <v>-49428.368965517242</v>
      </c>
    </row>
    <row r="919" spans="2:8">
      <c r="B919" s="152">
        <f t="shared" si="30"/>
        <v>0</v>
      </c>
      <c r="D919" s="30">
        <f>IF(D85&lt;1,-(D251+D418+D585+D752),-(D251+D418+'3. General Model Inputs'!$D$53*D585+D752)/D85)</f>
        <v>0</v>
      </c>
      <c r="E919" s="30">
        <f>IF(E85&lt;1,-(E251+E418+E585+E752),-(E251+E418+'3. General Model Inputs'!$D$53*E585+E752)/E85)</f>
        <v>0</v>
      </c>
      <c r="F919" s="30">
        <f>IF(F85&lt;1,-(F251+F418+F585+F752),-(F251+F418+'3. General Model Inputs'!$D$53*F585+F752)/F85)</f>
        <v>0</v>
      </c>
      <c r="G919" s="30">
        <f>IF(G85&lt;1,-(G251+G418+G585+G752),-(G251+G418+'3. General Model Inputs'!$D$53*G585+G752)/G85)</f>
        <v>0</v>
      </c>
      <c r="H919" s="30">
        <f>IF(H85&lt;1,-(H251+H418+H585+H752),-(H251+H418+'3. General Model Inputs'!$D$53*H585+H752)/H85)</f>
        <v>-11906.316666666668</v>
      </c>
    </row>
    <row r="920" spans="2:8">
      <c r="B920" s="152">
        <f t="shared" ref="B920:B983" si="31">B753</f>
        <v>0</v>
      </c>
      <c r="D920" s="30">
        <f>IF(D86&lt;1,-(D252+D419+D586+D753),-(D252+D419+'3. General Model Inputs'!$D$53*D586+D753)/D86)</f>
        <v>-3421.1058333333335</v>
      </c>
      <c r="E920" s="30">
        <f>IF(E86&lt;1,-(E252+E419+E586+E753),-(E252+E419+'3. General Model Inputs'!$D$53*E586+E753)/E86)</f>
        <v>-6900.1965112994349</v>
      </c>
      <c r="F920" s="30">
        <f>IF(F86&lt;1,-(F252+F419+F586+F753),-(F252+F419+'3. General Model Inputs'!$D$53*F586+F753)/F86)</f>
        <v>-6900.1965112994358</v>
      </c>
      <c r="G920" s="30">
        <f>IF(G86&lt;1,-(G252+G419+G586+G753),-(G252+G419+'3. General Model Inputs'!$D$53*G586+G753)/G86)</f>
        <v>-6900.1965112994358</v>
      </c>
      <c r="H920" s="30">
        <f>IF(H86&lt;1,-(H252+H419+H586+H753),-(H252+H419+'3. General Model Inputs'!$D$53*H586+H753)/H86)</f>
        <v>-6900.1965112994367</v>
      </c>
    </row>
    <row r="921" spans="2:8">
      <c r="B921" s="152">
        <f t="shared" si="31"/>
        <v>0</v>
      </c>
      <c r="D921" s="30">
        <f>IF(D87&lt;1,-(D253+D420+D587+D754),-(D253+D420+'3. General Model Inputs'!$D$53*D587+D754)/D87)</f>
        <v>0</v>
      </c>
      <c r="E921" s="30">
        <f>IF(E87&lt;1,-(E253+E420+E587+E754),-(E253+E420+'3. General Model Inputs'!$D$53*E587+E754)/E87)</f>
        <v>-1405.8383333333334</v>
      </c>
      <c r="F921" s="30">
        <f>IF(F87&lt;1,-(F253+F420+F587+F754),-(F253+F420+'3. General Model Inputs'!$D$53*F587+F754)/F87)</f>
        <v>-2835.5044350282483</v>
      </c>
      <c r="G921" s="30">
        <f>IF(G87&lt;1,-(G253+G420+G587+G754),-(G253+G420+'3. General Model Inputs'!$D$53*G587+G754)/G87)</f>
        <v>-2835.5044350282487</v>
      </c>
      <c r="H921" s="30">
        <f>IF(H87&lt;1,-(H253+H420+H587+H754),-(H253+H420+'3. General Model Inputs'!$D$53*H587+H754)/H87)</f>
        <v>-2835.5044350282487</v>
      </c>
    </row>
    <row r="922" spans="2:8">
      <c r="B922" s="152">
        <f t="shared" si="31"/>
        <v>0</v>
      </c>
      <c r="D922" s="30">
        <f>IF(D88&lt;1,-(D254+D421+D588+D755),-(D254+D421+'3. General Model Inputs'!$D$53*D588+D755)/D88)</f>
        <v>0</v>
      </c>
      <c r="E922" s="30">
        <f>IF(E88&lt;1,-(E254+E421+E588+E755),-(E254+E421+'3. General Model Inputs'!$D$53*E588+E755)/E88)</f>
        <v>0</v>
      </c>
      <c r="F922" s="30">
        <f>IF(F88&lt;1,-(F254+F421+F588+F755),-(F254+F421+'3. General Model Inputs'!$D$53*F588+F755)/F88)</f>
        <v>-13559.233333333334</v>
      </c>
      <c r="G922" s="30">
        <f>IF(G88&lt;1,-(G254+G421+G588+G755),-(G254+G421+'3. General Model Inputs'!$D$53*G588+G755)/G88)</f>
        <v>-27348.284180790961</v>
      </c>
      <c r="H922" s="30">
        <f>IF(H88&lt;1,-(H254+H421+H588+H755),-(H254+H421+'3. General Model Inputs'!$D$53*H588+H755)/H88)</f>
        <v>-27348.284180790961</v>
      </c>
    </row>
    <row r="923" spans="2:8">
      <c r="B923" s="152">
        <f t="shared" si="31"/>
        <v>0</v>
      </c>
      <c r="D923" s="30">
        <f>IF(D89&lt;1,-(D255+D422+D589+D756),-(D255+D422+'3. General Model Inputs'!$D$53*D589+D756)/D89)</f>
        <v>-16506.149916666665</v>
      </c>
      <c r="E923" s="30">
        <f>IF(E89&lt;1,-(E255+E422+E589+E756),-(E255+E422+'3. General Model Inputs'!$D$53*E589+E756)/E89)</f>
        <v>-33292.065086158196</v>
      </c>
      <c r="F923" s="30">
        <f>IF(F89&lt;1,-(F255+F422+F589+F756),-(F255+F422+'3. General Model Inputs'!$D$53*F589+F756)/F89)</f>
        <v>-33292.065086158196</v>
      </c>
      <c r="G923" s="30">
        <f>IF(G89&lt;1,-(G255+G422+G589+G756),-(G255+G422+'3. General Model Inputs'!$D$53*G589+G756)/G89)</f>
        <v>-33292.065086158196</v>
      </c>
      <c r="H923" s="30">
        <f>IF(H89&lt;1,-(H255+H422+H589+H756),-(H255+H422+'3. General Model Inputs'!$D$53*H589+H756)/H89)</f>
        <v>-33292.065086158189</v>
      </c>
    </row>
    <row r="924" spans="2:8">
      <c r="B924" s="152">
        <f t="shared" si="31"/>
        <v>0</v>
      </c>
      <c r="D924" s="30">
        <f>IF(D90&lt;1,-(D256+D423+D590+D757),-(D256+D423+'3. General Model Inputs'!$D$53*D590+D757)/D90)</f>
        <v>0</v>
      </c>
      <c r="E924" s="30">
        <f>IF(E90&lt;1,-(E256+E423+E590+E757),-(E256+E423+'3. General Model Inputs'!$D$53*E590+E757)/E90)</f>
        <v>-380.2302499999999</v>
      </c>
      <c r="F924" s="30">
        <f>IF(F90&lt;1,-(F256+F423+F590+F757),-(F256+F423+'3. General Model Inputs'!$D$53*F590+F757)/F90)</f>
        <v>-766.90508050847438</v>
      </c>
      <c r="G924" s="30">
        <f>IF(G90&lt;1,-(G256+G423+G590+G757),-(G256+G423+'3. General Model Inputs'!$D$53*G590+G757)/G90)</f>
        <v>-766.90508050847438</v>
      </c>
      <c r="H924" s="30">
        <f>IF(H90&lt;1,-(H256+H423+H590+H757),-(H256+H423+'3. General Model Inputs'!$D$53*H590+H757)/H90)</f>
        <v>-766.90508050847427</v>
      </c>
    </row>
    <row r="925" spans="2:8">
      <c r="B925" s="152">
        <f t="shared" si="31"/>
        <v>0</v>
      </c>
      <c r="D925" s="30">
        <f>IF(D91&lt;1,-(D257+D424+D591+D758),-(D257+D424+'3. General Model Inputs'!$D$53*D591+D758)/D91)</f>
        <v>-1801.8891874999997</v>
      </c>
      <c r="E925" s="30">
        <f>IF(E91&lt;1,-(E257+E424+E591+E758),-(E257+E424+'3. General Model Inputs'!$D$53*E591+E758)/E91)</f>
        <v>-3626.5870988924048</v>
      </c>
      <c r="F925" s="30">
        <f>IF(F91&lt;1,-(F257+F424+F591+F758),-(F257+F424+'3. General Model Inputs'!$D$53*F591+F758)/F91)</f>
        <v>-3626.5870988924044</v>
      </c>
      <c r="G925" s="30">
        <f>IF(G91&lt;1,-(G257+G424+G591+G758),-(G257+G424+'3. General Model Inputs'!$D$53*G591+G758)/G91)</f>
        <v>-3626.5870988924039</v>
      </c>
      <c r="H925" s="30">
        <f>IF(H91&lt;1,-(H257+H424+H591+H758),-(H257+H424+'3. General Model Inputs'!$D$53*H591+H758)/H91)</f>
        <v>-3626.5870988924034</v>
      </c>
    </row>
    <row r="926" spans="2:8">
      <c r="B926" s="152">
        <f t="shared" si="31"/>
        <v>0</v>
      </c>
      <c r="D926" s="30">
        <f>IF(D92&lt;1,-(D258+D425+D592+D759),-(D258+D425+'3. General Model Inputs'!$D$53*D592+D759)/D92)</f>
        <v>0</v>
      </c>
      <c r="E926" s="30">
        <f>IF(E92&lt;1,-(E258+E425+E592+E759),-(E258+E425+'3. General Model Inputs'!$D$53*E592+E759)/E92)</f>
        <v>-1069.7472499999999</v>
      </c>
      <c r="F926" s="30">
        <f>IF(F92&lt;1,-(F258+F425+F592+F759),-(F258+F425+'3. General Model Inputs'!$D$53*F592+F759)/F92)</f>
        <v>-2153.0356044303799</v>
      </c>
      <c r="G926" s="30">
        <f>IF(G92&lt;1,-(G258+G425+G592+G759),-(G258+G425+'3. General Model Inputs'!$D$53*G592+G759)/G92)</f>
        <v>-2153.0356044303799</v>
      </c>
      <c r="H926" s="30">
        <f>IF(H92&lt;1,-(H258+H425+H592+H759),-(H258+H425+'3. General Model Inputs'!$D$53*H592+H759)/H92)</f>
        <v>-2153.0356044303794</v>
      </c>
    </row>
    <row r="927" spans="2:8">
      <c r="B927" s="152">
        <f t="shared" si="31"/>
        <v>0</v>
      </c>
      <c r="D927" s="30">
        <f>IF(D93&lt;1,-(D259+D426+D593+D760),-(D259+D426+'3. General Model Inputs'!$D$53*D593+D760)/D93)</f>
        <v>0</v>
      </c>
      <c r="E927" s="30">
        <f>IF(E93&lt;1,-(E259+E426+E593+E760),-(E259+E426+'3. General Model Inputs'!$D$53*E593+E760)/E93)</f>
        <v>0</v>
      </c>
      <c r="F927" s="30">
        <f>IF(F93&lt;1,-(F259+F426+F593+F760),-(F259+F426+'3. General Model Inputs'!$D$53*F593+F760)/F93)</f>
        <v>-2700.6312499999999</v>
      </c>
      <c r="G927" s="30">
        <f>IF(G93&lt;1,-(G259+G426+G593+G760),-(G259+G426+'3. General Model Inputs'!$D$53*G593+G760)/G93)</f>
        <v>-5435.4477056962032</v>
      </c>
      <c r="H927" s="30">
        <f>IF(H93&lt;1,-(H259+H426+H593+H760),-(H259+H426+'3. General Model Inputs'!$D$53*H593+H760)/H93)</f>
        <v>-5435.4477056962023</v>
      </c>
    </row>
    <row r="928" spans="2:8">
      <c r="B928" s="152">
        <f t="shared" si="31"/>
        <v>0</v>
      </c>
      <c r="D928" s="30">
        <f>IF(D94&lt;1,-(D260+D427+D594+D761),-(D260+D427+'3. General Model Inputs'!$D$53*D594+D761)/D94)</f>
        <v>0</v>
      </c>
      <c r="E928" s="30">
        <f>IF(E94&lt;1,-(E260+E427+E594+E761),-(E260+E427+'3. General Model Inputs'!$D$53*E594+E761)/E94)</f>
        <v>0</v>
      </c>
      <c r="F928" s="30">
        <f>IF(F94&lt;1,-(F260+F427+F594+F761),-(F260+F427+'3. General Model Inputs'!$D$53*F594+F761)/F94)</f>
        <v>0</v>
      </c>
      <c r="G928" s="30">
        <f>IF(G94&lt;1,-(G260+G427+G594+G761),-(G260+G427+'3. General Model Inputs'!$D$53*G594+G761)/G94)</f>
        <v>-2776.6062499999998</v>
      </c>
      <c r="H928" s="30">
        <f>IF(H94&lt;1,-(H260+H427+H594+H761),-(H260+H427+'3. General Model Inputs'!$D$53*H594+H761)/H94)</f>
        <v>-5588.3594145569623</v>
      </c>
    </row>
    <row r="929" spans="2:8">
      <c r="B929" s="152">
        <f t="shared" si="31"/>
        <v>0</v>
      </c>
      <c r="D929" s="30">
        <f>IF(D95&lt;1,-(D261+D428+D595+D762),-(D261+D428+'3. General Model Inputs'!$D$53*D595+D762)/D95)</f>
        <v>0</v>
      </c>
      <c r="E929" s="30">
        <f>IF(E95&lt;1,-(E261+E428+E595+E762),-(E261+E428+'3. General Model Inputs'!$D$53*E595+E762)/E95)</f>
        <v>0</v>
      </c>
      <c r="F929" s="30">
        <f>IF(F95&lt;1,-(F261+F428+F595+F762),-(F261+F428+'3. General Model Inputs'!$D$53*F595+F762)/F95)</f>
        <v>0</v>
      </c>
      <c r="G929" s="30">
        <f>IF(G95&lt;1,-(G261+G428+G595+G762),-(G261+G428+'3. General Model Inputs'!$D$53*G595+G762)/G95)</f>
        <v>0</v>
      </c>
      <c r="H929" s="30">
        <f>IF(H95&lt;1,-(H261+H428+H595+H762),-(H261+H428+'3. General Model Inputs'!$D$53*H595+H762)/H95)</f>
        <v>-2857.5187500000002</v>
      </c>
    </row>
    <row r="930" spans="2:8">
      <c r="B930" s="152">
        <f t="shared" si="31"/>
        <v>0</v>
      </c>
      <c r="D930" s="30">
        <f>IF(D96&lt;1,-(D262+D429+D596+D763),-(D262+D429+'3. General Model Inputs'!$D$53*D596+D763)/D96)</f>
        <v>0</v>
      </c>
      <c r="E930" s="30">
        <f>IF(E96&lt;1,-(E262+E429+E596+E763),-(E262+E429+'3. General Model Inputs'!$D$53*E596+E763)/E96)</f>
        <v>0</v>
      </c>
      <c r="F930" s="30">
        <f>IF(F96&lt;1,-(F262+F429+F596+F763),-(F262+F429+'3. General Model Inputs'!$D$53*F596+F763)/F96)</f>
        <v>0</v>
      </c>
      <c r="G930" s="30">
        <f>IF(G96&lt;1,-(G262+G429+G596+G763),-(G262+G429+'3. General Model Inputs'!$D$53*G596+G763)/G96)</f>
        <v>-2776.6</v>
      </c>
      <c r="H930" s="30">
        <f>IF(H96&lt;1,-(H262+H429+H596+H763),-(H262+H429+'3. General Model Inputs'!$D$53*H596+H763)/H96)</f>
        <v>-5699.3368421052628</v>
      </c>
    </row>
    <row r="931" spans="2:8">
      <c r="B931" s="152">
        <f t="shared" si="31"/>
        <v>0</v>
      </c>
      <c r="D931" s="30">
        <f>IF(D97&lt;1,-(D263+D430+D597+D764),-(D263+D430+'3. General Model Inputs'!$D$53*D597+D764)/D97)</f>
        <v>0</v>
      </c>
      <c r="E931" s="30">
        <f>IF(E97&lt;1,-(E263+E430+E597+E764),-(E263+E430+'3. General Model Inputs'!$D$53*E597+E764)/E97)</f>
        <v>0</v>
      </c>
      <c r="F931" s="30">
        <f>IF(F97&lt;1,-(F263+F430+F597+F764),-(F263+F430+'3. General Model Inputs'!$D$53*F597+F764)/F97)</f>
        <v>0</v>
      </c>
      <c r="G931" s="30">
        <f>IF(G97&lt;1,-(G263+G430+G597+G764),-(G263+G430+'3. General Model Inputs'!$D$53*G597+G764)/G97)</f>
        <v>0</v>
      </c>
      <c r="H931" s="30">
        <f>IF(H97&lt;1,-(H263+H430+H597+H764),-(H263+H430+'3. General Model Inputs'!$D$53*H597+H764)/H97)</f>
        <v>-23574.525000000001</v>
      </c>
    </row>
    <row r="932" spans="2:8">
      <c r="B932" s="152">
        <f t="shared" si="31"/>
        <v>0</v>
      </c>
      <c r="D932" s="30">
        <f>IF(D98&lt;1,-(D264+D431+D598+D765),-(D264+D431+'3. General Model Inputs'!$D$53*D598+D765)/D98)</f>
        <v>0</v>
      </c>
      <c r="E932" s="30">
        <f>IF(E98&lt;1,-(E264+E431+E598+E765),-(E264+E431+'3. General Model Inputs'!$D$53*E598+E765)/E98)</f>
        <v>0</v>
      </c>
      <c r="F932" s="30">
        <f>IF(F98&lt;1,-(F264+F431+F598+F765),-(F264+F431+'3. General Model Inputs'!$D$53*F598+F765)/F98)</f>
        <v>-5435.9048136008378</v>
      </c>
      <c r="G932" s="30">
        <f>IF(G98&lt;1,-(G264+G431+G598+G765),-(G264+G431+'3. General Model Inputs'!$D$53*G598+G765)/G98)</f>
        <v>-11059.25462077412</v>
      </c>
      <c r="H932" s="30">
        <f>IF(H98&lt;1,-(H264+H431+H598+H765),-(H264+H431+'3. General Model Inputs'!$D$53*H598+H765)/H98)</f>
        <v>-11059.25462077412</v>
      </c>
    </row>
    <row r="933" spans="2:8">
      <c r="B933" s="152">
        <f t="shared" si="31"/>
        <v>0</v>
      </c>
      <c r="D933" s="30">
        <f>IF(D99&lt;1,-(D265+D432+D599+D766),-(D265+D432+'3. General Model Inputs'!$D$53*D599+D766)/D99)</f>
        <v>0</v>
      </c>
      <c r="E933" s="30">
        <f>IF(E99&lt;1,-(E265+E432+E599+E766),-(E265+E432+'3. General Model Inputs'!$D$53*E599+E766)/E99)</f>
        <v>0</v>
      </c>
      <c r="F933" s="30">
        <f>IF(F99&lt;1,-(F265+F432+F599+F766),-(F265+F432+'3. General Model Inputs'!$D$53*F599+F766)/F99)</f>
        <v>0</v>
      </c>
      <c r="G933" s="30">
        <f>IF(G99&lt;1,-(G265+G432+G599+G766),-(G265+G432+'3. General Model Inputs'!$D$53*G599+G766)/G99)</f>
        <v>-5577.3788286998943</v>
      </c>
      <c r="H933" s="30">
        <f>IF(H99&lt;1,-(H265+H432+H599+H766),-(H265+H432+'3. General Model Inputs'!$D$53*H599+H766)/H99)</f>
        <v>-11347.081065285993</v>
      </c>
    </row>
    <row r="934" spans="2:8">
      <c r="B934" s="152">
        <f t="shared" si="31"/>
        <v>0</v>
      </c>
      <c r="D934" s="30">
        <f>IF(D100&lt;1,-(D266+D433+D600+D767),-(D266+D433+'3. General Model Inputs'!$D$53*D600+D767)/D100)</f>
        <v>0</v>
      </c>
      <c r="E934" s="30">
        <f>IF(E100&lt;1,-(E266+E433+E600+E767),-(E266+E433+'3. General Model Inputs'!$D$53*E600+E767)/E100)</f>
        <v>0</v>
      </c>
      <c r="F934" s="30">
        <f>IF(F100&lt;1,-(F266+F433+F600+F767),-(F266+F433+'3. General Model Inputs'!$D$53*F600+F767)/F100)</f>
        <v>0</v>
      </c>
      <c r="G934" s="30">
        <f>IF(G100&lt;1,-(G266+G433+G600+G767),-(G266+G433+'3. General Model Inputs'!$D$53*G600+G767)/G100)</f>
        <v>0</v>
      </c>
      <c r="H934" s="30">
        <f>IF(H100&lt;1,-(H266+H433+H600+H767),-(H266+H433+'3. General Model Inputs'!$D$53*H600+H767)/H100)</f>
        <v>-6076.4195009144687</v>
      </c>
    </row>
    <row r="935" spans="2:8">
      <c r="B935" s="152">
        <f t="shared" si="31"/>
        <v>0</v>
      </c>
      <c r="D935" s="30">
        <f>IF(D101&lt;1,-(D267+D434+D601+D768),-(D267+D434+'3. General Model Inputs'!$D$53*D601+D768)/D101)</f>
        <v>0</v>
      </c>
      <c r="E935" s="30">
        <f>IF(E101&lt;1,-(E267+E434+E601+E768),-(E267+E434+'3. General Model Inputs'!$D$53*E601+E768)/E101)</f>
        <v>0</v>
      </c>
      <c r="F935" s="30">
        <f>IF(F101&lt;1,-(F267+F434+F601+F768),-(F267+F434+'3. General Model Inputs'!$D$53*F601+F768)/F101)</f>
        <v>0</v>
      </c>
      <c r="G935" s="30">
        <f>IF(G101&lt;1,-(G267+G434+G601+G768),-(G267+G434+'3. General Model Inputs'!$D$53*G601+G768)/G101)</f>
        <v>-7172.9</v>
      </c>
      <c r="H935" s="30">
        <f>IF(H101&lt;1,-(H267+H434+H601+H768),-(H267+H434+'3. General Model Inputs'!$D$53*H601+H768)/H101)</f>
        <v>-14593.141379310344</v>
      </c>
    </row>
    <row r="936" spans="2:8">
      <c r="B936" s="152">
        <f t="shared" si="31"/>
        <v>0</v>
      </c>
      <c r="D936" s="30">
        <f>IF(D102&lt;1,-(D268+D435+D602+D769),-(D268+D435+'3. General Model Inputs'!$D$53*D602+D769)/D102)</f>
        <v>0</v>
      </c>
      <c r="E936" s="30">
        <f>IF(E102&lt;1,-(E268+E435+E602+E769),-(E268+E435+'3. General Model Inputs'!$D$53*E602+E769)/E102)</f>
        <v>0</v>
      </c>
      <c r="F936" s="30">
        <f>IF(F102&lt;1,-(F268+F435+F602+F769),-(F268+F435+'3. General Model Inputs'!$D$53*F602+F769)/F102)</f>
        <v>0</v>
      </c>
      <c r="G936" s="30">
        <f>IF(G102&lt;1,-(G268+G435+G602+G769),-(G268+G435+'3. General Model Inputs'!$D$53*G602+G769)/G102)</f>
        <v>0</v>
      </c>
      <c r="H936" s="30">
        <f>IF(H102&lt;1,-(H268+H435+H602+H769),-(H268+H435+'3. General Model Inputs'!$D$53*H602+H769)/H102)</f>
        <v>-9525.0666666666675</v>
      </c>
    </row>
    <row r="937" spans="2:8">
      <c r="B937" s="152">
        <f t="shared" si="31"/>
        <v>0</v>
      </c>
      <c r="D937" s="30">
        <f>IF(D103&lt;1,-(D269+D436+D603+D770),-(D269+D436+'3. General Model Inputs'!$D$53*D603+D770)/D103)</f>
        <v>-581.1171875</v>
      </c>
      <c r="E937" s="30">
        <f>IF(E103&lt;1,-(E269+E436+E603+E770),-(E269+E436+'3. General Model Inputs'!$D$53*E603+E770)/E103)</f>
        <v>-1169.5902887658228</v>
      </c>
      <c r="F937" s="30">
        <f>IF(F103&lt;1,-(F269+F436+F603+F770),-(F269+F436+'3. General Model Inputs'!$D$53*F603+F770)/F103)</f>
        <v>-1169.5902887658228</v>
      </c>
      <c r="G937" s="30">
        <f>IF(G103&lt;1,-(G269+G436+G603+G770),-(G269+G436+'3. General Model Inputs'!$D$53*G603+G770)/G103)</f>
        <v>-1169.5902887658231</v>
      </c>
      <c r="H937" s="30">
        <f>IF(H103&lt;1,-(H269+H436+H603+H770),-(H269+H436+'3. General Model Inputs'!$D$53*H603+H770)/H103)</f>
        <v>-1169.5902887658231</v>
      </c>
    </row>
    <row r="938" spans="2:8">
      <c r="B938" s="152">
        <f t="shared" si="31"/>
        <v>0</v>
      </c>
      <c r="D938" s="30">
        <f>IF(D104&lt;1,-(D270+D437+D604+D771),-(D270+D437+'3. General Model Inputs'!$D$53*D604+D771)/D104)</f>
        <v>0</v>
      </c>
      <c r="E938" s="30">
        <f>IF(E104&lt;1,-(E270+E437+E604+E771),-(E270+E437+'3. General Model Inputs'!$D$53*E604+E771)/E104)</f>
        <v>-4615.0420624999997</v>
      </c>
      <c r="F938" s="30">
        <f>IF(F104&lt;1,-(F270+F437+F604+F771),-(F270+F437+'3. General Model Inputs'!$D$53*F604+F771)/F104)</f>
        <v>-9288.5023789556963</v>
      </c>
      <c r="G938" s="30">
        <f>IF(G104&lt;1,-(G270+G437+G604+G771),-(G270+G437+'3. General Model Inputs'!$D$53*G604+G771)/G104)</f>
        <v>-9288.5023789556963</v>
      </c>
      <c r="H938" s="30">
        <f>IF(H104&lt;1,-(H270+H437+H604+H771),-(H270+H437+'3. General Model Inputs'!$D$53*H604+H771)/H104)</f>
        <v>-9288.5023789556944</v>
      </c>
    </row>
    <row r="939" spans="2:8">
      <c r="B939" s="152">
        <f t="shared" si="31"/>
        <v>0</v>
      </c>
      <c r="D939" s="30">
        <f>IF(D105&lt;1,-(D271+D438+D605+D772),-(D271+D438+'3. General Model Inputs'!$D$53*D605+D772)/D105)</f>
        <v>-6711.5572499999989</v>
      </c>
      <c r="E939" s="30">
        <f>IF(E105&lt;1,-(E271+E438+E605+E772),-(E271+E438+'3. General Model Inputs'!$D$53*E605+E772)/E105)</f>
        <v>-13536.869707627118</v>
      </c>
      <c r="F939" s="30">
        <f>IF(F105&lt;1,-(F271+F438+F605+F772),-(F271+F438+'3. General Model Inputs'!$D$53*F605+F772)/F105)</f>
        <v>-13536.869707627118</v>
      </c>
      <c r="G939" s="30">
        <f>IF(G105&lt;1,-(G271+G438+G605+G772),-(G271+G438+'3. General Model Inputs'!$D$53*G605+G772)/G105)</f>
        <v>-13536.869707627118</v>
      </c>
      <c r="H939" s="30">
        <f>IF(H105&lt;1,-(H271+H438+H605+H772),-(H271+H438+'3. General Model Inputs'!$D$53*H605+H772)/H105)</f>
        <v>-13536.869707627118</v>
      </c>
    </row>
    <row r="940" spans="2:8">
      <c r="B940" s="152">
        <f t="shared" si="31"/>
        <v>0</v>
      </c>
      <c r="D940" s="30">
        <f>IF(D106&lt;1,-(D272+D439+D606+D773),-(D272+D439+'3. General Model Inputs'!$D$53*D606+D773)/D106)</f>
        <v>0</v>
      </c>
      <c r="E940" s="30">
        <f>IF(E106&lt;1,-(E272+E439+E606+E773),-(E272+E439+'3. General Model Inputs'!$D$53*E606+E773)/E106)</f>
        <v>-184.73974999999999</v>
      </c>
      <c r="F940" s="30">
        <f>IF(F106&lt;1,-(F272+F439+F606+F773),-(F272+F439+'3. General Model Inputs'!$D$53*F606+F773)/F106)</f>
        <v>-372.61068220338979</v>
      </c>
      <c r="G940" s="30">
        <f>IF(G106&lt;1,-(G272+G439+G606+G773),-(G272+G439+'3. General Model Inputs'!$D$53*G606+G773)/G106)</f>
        <v>-372.61068220338973</v>
      </c>
      <c r="H940" s="30">
        <f>IF(H106&lt;1,-(H272+H439+H606+H773),-(H272+H439+'3. General Model Inputs'!$D$53*H606+H773)/H106)</f>
        <v>-372.61068220338973</v>
      </c>
    </row>
    <row r="941" spans="2:8">
      <c r="B941" s="152">
        <f t="shared" si="31"/>
        <v>0</v>
      </c>
      <c r="D941" s="30">
        <f>IF(D107&lt;1,-(D273+D440+D607+D774),-(D273+D440+'3. General Model Inputs'!$D$53*D607+D774)/D107)</f>
        <v>-4456.7152500000002</v>
      </c>
      <c r="E941" s="30">
        <f>IF(E107&lt;1,-(E273+E440+E607+E774),-(E273+E440+'3. General Model Inputs'!$D$53*E607+E774)/E107)</f>
        <v>-8988.9680466101709</v>
      </c>
      <c r="F941" s="30">
        <f>IF(F107&lt;1,-(F273+F440+F607+F774),-(F273+F440+'3. General Model Inputs'!$D$53*F607+F774)/F107)</f>
        <v>-8988.9680466101709</v>
      </c>
      <c r="G941" s="30">
        <f>IF(G107&lt;1,-(G273+G440+G607+G774),-(G273+G440+'3. General Model Inputs'!$D$53*G607+G774)/G107)</f>
        <v>-8988.9680466101709</v>
      </c>
      <c r="H941" s="30">
        <f>IF(H107&lt;1,-(H273+H440+H607+H774),-(H273+H440+'3. General Model Inputs'!$D$53*H607+H774)/H107)</f>
        <v>-8988.968046610169</v>
      </c>
    </row>
    <row r="942" spans="2:8">
      <c r="B942" s="152">
        <f t="shared" si="31"/>
        <v>0</v>
      </c>
      <c r="D942" s="30">
        <f>IF(D108&lt;1,-(D274+D441+D608+D775),-(D274+D441+'3. General Model Inputs'!$D$53*D608+D775)/D108)</f>
        <v>0</v>
      </c>
      <c r="E942" s="30">
        <f>IF(E108&lt;1,-(E274+E441+E608+E775),-(E274+E441+'3. General Model Inputs'!$D$53*E608+E775)/E108)</f>
        <v>-1370.3764999999999</v>
      </c>
      <c r="F942" s="30">
        <f>IF(F108&lt;1,-(F274+F441+F608+F775),-(F274+F441+'3. General Model Inputs'!$D$53*F608+F775)/F108)</f>
        <v>-2763.9797203389826</v>
      </c>
      <c r="G942" s="30">
        <f>IF(G108&lt;1,-(G274+G441+G608+G775),-(G274+G441+'3. General Model Inputs'!$D$53*G608+G775)/G108)</f>
        <v>-2763.979720338983</v>
      </c>
      <c r="H942" s="30">
        <f>IF(H108&lt;1,-(H274+H441+H608+H775),-(H274+H441+'3. General Model Inputs'!$D$53*H608+H775)/H108)</f>
        <v>-2763.979720338983</v>
      </c>
    </row>
    <row r="943" spans="2:8">
      <c r="B943" s="152">
        <f t="shared" si="31"/>
        <v>0</v>
      </c>
      <c r="D943" s="30">
        <f>IF(D109&lt;1,-(D275+D442+D609+D776),-(D275+D442+'3. General Model Inputs'!$D$53*D609+D776)/D109)</f>
        <v>0</v>
      </c>
      <c r="E943" s="30">
        <f>IF(E109&lt;1,-(E275+E442+E609+E776),-(E275+E442+'3. General Model Inputs'!$D$53*E609+E776)/E109)</f>
        <v>0</v>
      </c>
      <c r="F943" s="30">
        <f>IF(F109&lt;1,-(F275+F442+F609+F776),-(F275+F442+'3. General Model Inputs'!$D$53*F609+F776)/F109)</f>
        <v>-10871.809627201676</v>
      </c>
      <c r="G943" s="30">
        <f>IF(G109&lt;1,-(G275+G442+G609+G776),-(G275+G442+'3. General Model Inputs'!$D$53*G609+G776)/G109)</f>
        <v>-22118.50924154824</v>
      </c>
      <c r="H943" s="30">
        <f>IF(H109&lt;1,-(H275+H442+H609+H776),-(H275+H442+'3. General Model Inputs'!$D$53*H609+H776)/H109)</f>
        <v>-22118.50924154824</v>
      </c>
    </row>
    <row r="944" spans="2:8">
      <c r="B944" s="152">
        <f t="shared" si="31"/>
        <v>0</v>
      </c>
      <c r="D944" s="30">
        <f>IF(D110&lt;1,-(D276+D443+D610+D777),-(D276+D443+'3. General Model Inputs'!$D$53*D610+D777)/D110)</f>
        <v>-137.25591666666671</v>
      </c>
      <c r="E944" s="30">
        <f>IF(E110&lt;1,-(E276+E443+E610+E777),-(E276+E443+'3. General Model Inputs'!$D$53*E610+E777)/E110)</f>
        <v>-276.83820480226001</v>
      </c>
      <c r="F944" s="30">
        <f>IF(F110&lt;1,-(F276+F443+F610+F777),-(F276+F443+'3. General Model Inputs'!$D$53*F610+F777)/F110)</f>
        <v>-276.83820480226001</v>
      </c>
      <c r="G944" s="30">
        <f>IF(G110&lt;1,-(G276+G443+G610+G777),-(G276+G443+'3. General Model Inputs'!$D$53*G610+G777)/G110)</f>
        <v>-276.83820480226001</v>
      </c>
      <c r="H944" s="30">
        <f>IF(H110&lt;1,-(H276+H443+H610+H777),-(H276+H443+'3. General Model Inputs'!$D$53*H610+H777)/H110)</f>
        <v>-276.83820480226001</v>
      </c>
    </row>
    <row r="945" spans="2:8">
      <c r="B945" s="152">
        <f t="shared" si="31"/>
        <v>0</v>
      </c>
      <c r="D945" s="30">
        <f>IF(D111&lt;1,-(D277+D444+D611+D778),-(D277+D444+'3. General Model Inputs'!$D$53*D611+D778)/D111)</f>
        <v>0</v>
      </c>
      <c r="E945" s="30">
        <f>IF(E111&lt;1,-(E277+E444+E611+E778),-(E277+E444+'3. General Model Inputs'!$D$53*E611+E778)/E111)</f>
        <v>-1535.8196333333333</v>
      </c>
      <c r="F945" s="30">
        <f>IF(F111&lt;1,-(F277+F444+F611+F778),-(F277+F444+'3. General Model Inputs'!$D$53*F611+F778)/F111)</f>
        <v>-3097.6701079096047</v>
      </c>
      <c r="G945" s="30">
        <f>IF(G111&lt;1,-(G277+G444+G611+G778),-(G277+G444+'3. General Model Inputs'!$D$53*G611+G778)/G111)</f>
        <v>-3097.6701079096047</v>
      </c>
      <c r="H945" s="30">
        <f>IF(H111&lt;1,-(H277+H444+H611+H778),-(H277+H444+'3. General Model Inputs'!$D$53*H611+H778)/H111)</f>
        <v>-3097.6701079096047</v>
      </c>
    </row>
    <row r="946" spans="2:8">
      <c r="B946" s="152">
        <f t="shared" si="31"/>
        <v>0</v>
      </c>
      <c r="D946" s="30">
        <f>IF(D112&lt;1,-(D278+D445+D612+D779),-(D278+D445+'3. General Model Inputs'!$D$53*D612+D779)/D112)</f>
        <v>0</v>
      </c>
      <c r="E946" s="30">
        <f>IF(E112&lt;1,-(E278+E445+E612+E779),-(E278+E445+'3. General Model Inputs'!$D$53*E612+E779)/E112)</f>
        <v>0</v>
      </c>
      <c r="F946" s="30">
        <f>IF(F112&lt;1,-(F278+F445+F612+F779),-(F278+F445+'3. General Model Inputs'!$D$53*F612+F779)/F112)</f>
        <v>-1800.4166666666667</v>
      </c>
      <c r="G946" s="30">
        <f>IF(G112&lt;1,-(G278+G445+G612+G779),-(G278+G445+'3. General Model Inputs'!$D$53*G612+G779)/G112)</f>
        <v>-3631.3488700564972</v>
      </c>
      <c r="H946" s="30">
        <f>IF(H112&lt;1,-(H278+H445+H612+H779),-(H278+H445+'3. General Model Inputs'!$D$53*H612+H779)/H112)</f>
        <v>-3631.3488700564972</v>
      </c>
    </row>
    <row r="947" spans="2:8">
      <c r="B947" s="152">
        <f t="shared" si="31"/>
        <v>0</v>
      </c>
      <c r="D947" s="30">
        <f>IF(D113&lt;1,-(D279+D446+D613+D780),-(D279+D446+'3. General Model Inputs'!$D$53*D613+D780)/D113)</f>
        <v>-1305.6448333333335</v>
      </c>
      <c r="E947" s="30">
        <f>IF(E113&lt;1,-(E279+E446+E613+E780),-(E279+E446+'3. General Model Inputs'!$D$53*E613+E780)/E113)</f>
        <v>-2633.4192401129949</v>
      </c>
      <c r="F947" s="30">
        <f>IF(F113&lt;1,-(F279+F446+F613+F780),-(F279+F446+'3. General Model Inputs'!$D$53*F613+F780)/F113)</f>
        <v>-2633.4192401129949</v>
      </c>
      <c r="G947" s="30">
        <f>IF(G113&lt;1,-(G279+G446+G613+G780),-(G279+G446+'3. General Model Inputs'!$D$53*G613+G780)/G113)</f>
        <v>-2633.4192401129949</v>
      </c>
      <c r="H947" s="30">
        <f>IF(H113&lt;1,-(H279+H446+H613+H780),-(H279+H446+'3. General Model Inputs'!$D$53*H613+H780)/H113)</f>
        <v>-2633.4192401129949</v>
      </c>
    </row>
    <row r="948" spans="2:8">
      <c r="B948" s="152">
        <f t="shared" si="31"/>
        <v>0</v>
      </c>
      <c r="D948" s="30">
        <f>IF(D114&lt;1,-(D280+D447+D614+D781),-(D280+D447+'3. General Model Inputs'!$D$53*D614+D781)/D114)</f>
        <v>0</v>
      </c>
      <c r="E948" s="30">
        <f>IF(E114&lt;1,-(E280+E447+E614+E781),-(E280+E447+'3. General Model Inputs'!$D$53*E614+E781)/E114)</f>
        <v>-961.255</v>
      </c>
      <c r="F948" s="30">
        <f>IF(F114&lt;1,-(F280+F447+F614+F781),-(F280+F447+'3. General Model Inputs'!$D$53*F614+F781)/F114)</f>
        <v>-1938.8024576271187</v>
      </c>
      <c r="G948" s="30">
        <f>IF(G114&lt;1,-(G280+G447+G614+G781),-(G280+G447+'3. General Model Inputs'!$D$53*G614+G781)/G114)</f>
        <v>-1938.8024576271187</v>
      </c>
      <c r="H948" s="30">
        <f>IF(H114&lt;1,-(H280+H447+H614+H781),-(H280+H447+'3. General Model Inputs'!$D$53*H614+H781)/H114)</f>
        <v>-1938.8024576271189</v>
      </c>
    </row>
    <row r="949" spans="2:8">
      <c r="B949" s="152">
        <f t="shared" si="31"/>
        <v>0</v>
      </c>
      <c r="D949" s="30">
        <f>IF(D115&lt;1,-(D281+D448+D615+D782),-(D281+D448+'3. General Model Inputs'!$D$53*D615+D782)/D115)</f>
        <v>0</v>
      </c>
      <c r="E949" s="30">
        <f>IF(E115&lt;1,-(E281+E448+E615+E782),-(E281+E448+'3. General Model Inputs'!$D$53*E615+E782)/E115)</f>
        <v>0</v>
      </c>
      <c r="F949" s="30">
        <f>IF(F115&lt;1,-(F281+F448+F615+F782),-(F281+F448+'3. General Model Inputs'!$D$53*F615+F782)/F115)</f>
        <v>0</v>
      </c>
      <c r="G949" s="30">
        <f>IF(G115&lt;1,-(G281+G448+G615+G782),-(G281+G448+'3. General Model Inputs'!$D$53*G615+G782)/G115)</f>
        <v>-2180.7916666666665</v>
      </c>
      <c r="H949" s="30">
        <f>IF(H115&lt;1,-(H281+H448+H615+H782),-(H281+H448+'3. General Model Inputs'!$D$53*H615+H782)/H115)</f>
        <v>-4398.5459039548023</v>
      </c>
    </row>
    <row r="950" spans="2:8">
      <c r="B950" s="152">
        <f t="shared" si="31"/>
        <v>0</v>
      </c>
      <c r="D950" s="30">
        <f>IF(D116&lt;1,-(D282+D449+D616+D783),-(D282+D449+'3. General Model Inputs'!$D$53*D616+D783)/D116)</f>
        <v>-1007.9956666666674</v>
      </c>
      <c r="E950" s="30">
        <f>IF(E116&lt;1,-(E282+E449+E616+E783),-(E282+E449+'3. General Model Inputs'!$D$53*E616+E783)/E116)</f>
        <v>-2033.0760056497188</v>
      </c>
      <c r="F950" s="30">
        <f>IF(F116&lt;1,-(F282+F449+F616+F783),-(F282+F449+'3. General Model Inputs'!$D$53*F616+F783)/F116)</f>
        <v>-2033.0760056497188</v>
      </c>
      <c r="G950" s="30">
        <f>IF(G116&lt;1,-(G282+G449+G616+G783),-(G282+G449+'3. General Model Inputs'!$D$53*G616+G783)/G116)</f>
        <v>-2033.0760056497188</v>
      </c>
      <c r="H950" s="30">
        <f>IF(H116&lt;1,-(H282+H449+H616+H783),-(H282+H449+'3. General Model Inputs'!$D$53*H616+H783)/H116)</f>
        <v>-2033.0760056497186</v>
      </c>
    </row>
    <row r="951" spans="2:8">
      <c r="B951" s="152">
        <f t="shared" si="31"/>
        <v>0</v>
      </c>
      <c r="D951" s="30">
        <f>IF(D117&lt;1,-(D283+D450+D617+D784),-(D283+D450+'3. General Model Inputs'!$D$53*D617+D784)/D117)</f>
        <v>-839.08199999999977</v>
      </c>
      <c r="E951" s="30">
        <f>IF(E117&lt;1,-(E283+E450+E617+E784),-(E283+E450+'3. General Model Inputs'!$D$53*E617+E784)/E117)</f>
        <v>-1692.3857288135589</v>
      </c>
      <c r="F951" s="30">
        <f>IF(F117&lt;1,-(F283+F450+F617+F784),-(F283+F450+'3. General Model Inputs'!$D$53*F617+F784)/F117)</f>
        <v>-1692.3857288135589</v>
      </c>
      <c r="G951" s="30">
        <f>IF(G117&lt;1,-(G283+G450+G617+G784),-(G283+G450+'3. General Model Inputs'!$D$53*G617+G784)/G117)</f>
        <v>-1692.3857288135587</v>
      </c>
      <c r="H951" s="30">
        <f>IF(H117&lt;1,-(H283+H450+H617+H784),-(H283+H450+'3. General Model Inputs'!$D$53*H617+H784)/H117)</f>
        <v>-1692.3857288135587</v>
      </c>
    </row>
    <row r="952" spans="2:8">
      <c r="B952" s="152">
        <f t="shared" si="31"/>
        <v>0</v>
      </c>
      <c r="D952" s="30">
        <f>IF(D118&lt;1,-(D284+D451+D618+D785),-(D284+D451+'3. General Model Inputs'!$D$53*D618+D785)/D118)</f>
        <v>-442.18081250000006</v>
      </c>
      <c r="E952" s="30">
        <f>IF(E118&lt;1,-(E284+E451+E618+E785),-(E284+E451+'3. General Model Inputs'!$D$53*E618+E785)/E118)</f>
        <v>-889.95885047468369</v>
      </c>
      <c r="F952" s="30">
        <f>IF(F118&lt;1,-(F284+F451+F618+F785),-(F284+F451+'3. General Model Inputs'!$D$53*F618+F785)/F118)</f>
        <v>-889.9588504746838</v>
      </c>
      <c r="G952" s="30">
        <f>IF(G118&lt;1,-(G284+G451+G618+G785),-(G284+G451+'3. General Model Inputs'!$D$53*G618+G785)/G118)</f>
        <v>-889.9588504746838</v>
      </c>
      <c r="H952" s="30">
        <f>IF(H118&lt;1,-(H284+H451+H618+H785),-(H284+H451+'3. General Model Inputs'!$D$53*H618+H785)/H118)</f>
        <v>-889.95885047468391</v>
      </c>
    </row>
    <row r="953" spans="2:8">
      <c r="B953" s="152">
        <f t="shared" si="31"/>
        <v>0</v>
      </c>
      <c r="D953" s="30">
        <f>IF(D119&lt;1,-(D285+D452+D619+D786),-(D285+D452+'3. General Model Inputs'!$D$53*D619+D786)/D119)</f>
        <v>-7119.960500000001</v>
      </c>
      <c r="E953" s="30">
        <f>IF(E119&lt;1,-(E285+E452+E619+E786),-(E285+E452+'3. General Model Inputs'!$D$53*E619+E786)/E119)</f>
        <v>-15031.027722222227</v>
      </c>
      <c r="F953" s="30">
        <f>IF(F119&lt;1,-(F285+F452+F619+F786),-(F285+F452+'3. General Model Inputs'!$D$53*F619+F786)/F119)</f>
        <v>-15031.027722222227</v>
      </c>
      <c r="G953" s="30">
        <f>IF(G119&lt;1,-(G285+G452+G619+G786),-(G285+G452+'3. General Model Inputs'!$D$53*G619+G786)/G119)</f>
        <v>-15031.027722222227</v>
      </c>
      <c r="H953" s="30">
        <f>IF(H119&lt;1,-(H285+H452+H619+H786),-(H285+H452+'3. General Model Inputs'!$D$53*H619+H786)/H119)</f>
        <v>-15031.027722222228</v>
      </c>
    </row>
    <row r="954" spans="2:8">
      <c r="B954" s="152">
        <f t="shared" si="31"/>
        <v>0</v>
      </c>
      <c r="D954" s="30">
        <f>IF(D120&lt;1,-(D286+D453+D620+D787),-(D286+D453+'3. General Model Inputs'!$D$53*D620+D787)/D120)</f>
        <v>-2480.875</v>
      </c>
      <c r="E954" s="30">
        <f>IF(E120&lt;1,-(E286+E453+E620+E787),-(E286+E453+'3. General Model Inputs'!$D$53*E620+E787)/E120)</f>
        <v>-5581.96875</v>
      </c>
      <c r="F954" s="30">
        <f>IF(F120&lt;1,-(F286+F453+F620+F787),-(F286+F453+'3. General Model Inputs'!$D$53*F620+F787)/F120)</f>
        <v>-5581.96875</v>
      </c>
      <c r="G954" s="30">
        <f>IF(G120&lt;1,-(G286+G453+G620+G787),-(G286+G453+'3. General Model Inputs'!$D$53*G620+G787)/G120)</f>
        <v>-5581.96875</v>
      </c>
      <c r="H954" s="30">
        <f>IF(H120&lt;1,-(H286+H453+H620+H787),-(H286+H453+'3. General Model Inputs'!$D$53*H620+H787)/H120)</f>
        <v>-5581.96875</v>
      </c>
    </row>
    <row r="955" spans="2:8">
      <c r="B955" s="152">
        <f t="shared" si="31"/>
        <v>0</v>
      </c>
      <c r="D955" s="30">
        <f>IF(D121&lt;1,-(D287+D454+D621+D788),-(D287+D454+'3. General Model Inputs'!$D$53*D621+D788)/D121)</f>
        <v>0</v>
      </c>
      <c r="E955" s="30">
        <f>IF(E121&lt;1,-(E287+E454+E621+E788),-(E287+E454+'3. General Model Inputs'!$D$53*E621+E788)/E121)</f>
        <v>-7166.666666666667</v>
      </c>
      <c r="F955" s="30">
        <f>IF(F121&lt;1,-(F287+F454+F621+F788),-(F287+F454+'3. General Model Inputs'!$D$53*F621+F788)/F121)</f>
        <v>-14845.238095238095</v>
      </c>
      <c r="G955" s="30">
        <f>IF(G121&lt;1,-(G287+G454+G621+G788),-(G287+G454+'3. General Model Inputs'!$D$53*G621+G788)/G121)</f>
        <v>-14845.238095238095</v>
      </c>
      <c r="H955" s="30">
        <f>IF(H121&lt;1,-(H287+H454+H621+H788),-(H287+H454+'3. General Model Inputs'!$D$53*H621+H788)/H121)</f>
        <v>-14845.238095238094</v>
      </c>
    </row>
    <row r="956" spans="2:8">
      <c r="B956" s="152">
        <f t="shared" si="31"/>
        <v>0</v>
      </c>
      <c r="D956" s="30">
        <f>IF(D122&lt;1,-(D288+D455+D622+D789),-(D288+D455+'3. General Model Inputs'!$D$53*D622+D789)/D122)</f>
        <v>-57500.331999999995</v>
      </c>
      <c r="E956" s="30">
        <f>IF(E122&lt;1,-(E288+E455+E622+E789),-(E288+E455+'3. General Model Inputs'!$D$53*E622+E789)/E122)</f>
        <v>-129375.74699999999</v>
      </c>
      <c r="F956" s="30">
        <f>IF(F122&lt;1,-(F288+F455+F622+F789),-(F288+F455+'3. General Model Inputs'!$D$53*F622+F789)/F122)</f>
        <v>-129375.74699999999</v>
      </c>
      <c r="G956" s="30">
        <f>IF(G122&lt;1,-(G288+G455+G622+G789),-(G288+G455+'3. General Model Inputs'!$D$53*G622+G789)/G122)</f>
        <v>-129375.747</v>
      </c>
      <c r="H956" s="30">
        <f>IF(H122&lt;1,-(H288+H455+H622+H789),-(H288+H455+'3. General Model Inputs'!$D$53*H622+H789)/H122)</f>
        <v>-129375.747</v>
      </c>
    </row>
    <row r="957" spans="2:8">
      <c r="B957" s="152">
        <f t="shared" si="31"/>
        <v>0</v>
      </c>
      <c r="D957" s="30">
        <f>IF(D123&lt;1,-(D289+D456+D623+D790),-(D289+D456+'3. General Model Inputs'!$D$53*D623+D790)/D123)</f>
        <v>0</v>
      </c>
      <c r="E957" s="30">
        <f>IF(E123&lt;1,-(E289+E456+E623+E790),-(E289+E456+'3. General Model Inputs'!$D$53*E623+E790)/E123)</f>
        <v>-41950.000000000007</v>
      </c>
      <c r="F957" s="30">
        <f>IF(F123&lt;1,-(F289+F456+F623+F790),-(F289+F456+'3. General Model Inputs'!$D$53*F623+F790)/F123)</f>
        <v>-94387.500000000015</v>
      </c>
      <c r="G957" s="30">
        <f>IF(G123&lt;1,-(G289+G456+G623+G790),-(G289+G456+'3. General Model Inputs'!$D$53*G623+G790)/G123)</f>
        <v>-94387.500000000015</v>
      </c>
      <c r="H957" s="30">
        <f>IF(H123&lt;1,-(H289+H456+H623+H790),-(H289+H456+'3. General Model Inputs'!$D$53*H623+H790)/H123)</f>
        <v>-94387.500000000029</v>
      </c>
    </row>
    <row r="958" spans="2:8">
      <c r="B958" s="152">
        <f t="shared" si="31"/>
        <v>0</v>
      </c>
      <c r="D958" s="30">
        <f>IF(D124&lt;1,-(D290+D457+D624+D791),-(D290+D457+'3. General Model Inputs'!$D$53*D624+D791)/D124)</f>
        <v>0</v>
      </c>
      <c r="E958" s="30">
        <f>IF(E124&lt;1,-(E290+E457+E624+E791),-(E290+E457+'3. General Model Inputs'!$D$53*E624+E791)/E124)</f>
        <v>0</v>
      </c>
      <c r="F958" s="30">
        <f>IF(F124&lt;1,-(F290+F457+F624+F791),-(F290+F457+'3. General Model Inputs'!$D$53*F624+F791)/F124)</f>
        <v>-45000</v>
      </c>
      <c r="G958" s="30">
        <f>IF(G124&lt;1,-(G290+G457+G624+G791),-(G290+G457+'3. General Model Inputs'!$D$53*G624+G791)/G124)</f>
        <v>-101250</v>
      </c>
      <c r="H958" s="30">
        <f>IF(H124&lt;1,-(H290+H457+H624+H791),-(H290+H457+'3. General Model Inputs'!$D$53*H624+H791)/H124)</f>
        <v>-101250</v>
      </c>
    </row>
    <row r="959" spans="2:8">
      <c r="B959" s="152">
        <f t="shared" si="31"/>
        <v>0</v>
      </c>
      <c r="D959" s="30">
        <f>IF(D125&lt;1,-(D291+D458+D625+D792),-(D291+D458+'3. General Model Inputs'!$D$53*D625+D792)/D125)</f>
        <v>0</v>
      </c>
      <c r="E959" s="30">
        <f>IF(E125&lt;1,-(E291+E458+E625+E792),-(E291+E458+'3. General Model Inputs'!$D$53*E625+E792)/E125)</f>
        <v>0</v>
      </c>
      <c r="F959" s="30">
        <f>IF(F125&lt;1,-(F291+F458+F625+F792),-(F291+F458+'3. General Model Inputs'!$D$53*F625+F792)/F125)</f>
        <v>0</v>
      </c>
      <c r="G959" s="30">
        <f>IF(G125&lt;1,-(G291+G458+G625+G792),-(G291+G458+'3. General Model Inputs'!$D$53*G625+G792)/G125)</f>
        <v>-45000</v>
      </c>
      <c r="H959" s="30">
        <f>IF(H125&lt;1,-(H291+H458+H625+H792),-(H291+H458+'3. General Model Inputs'!$D$53*H625+H792)/H125)</f>
        <v>-101250</v>
      </c>
    </row>
    <row r="960" spans="2:8">
      <c r="B960" s="152">
        <f t="shared" si="31"/>
        <v>0</v>
      </c>
      <c r="D960" s="30">
        <f>IF(D126&lt;1,-(D292+D459+D626+D793),-(D292+D459+'3. General Model Inputs'!$D$53*D626+D793)/D126)</f>
        <v>0</v>
      </c>
      <c r="E960" s="30">
        <f>IF(E126&lt;1,-(E292+E459+E626+E793),-(E292+E459+'3. General Model Inputs'!$D$53*E626+E793)/E126)</f>
        <v>0</v>
      </c>
      <c r="F960" s="30">
        <f>IF(F126&lt;1,-(F292+F459+F626+F793),-(F292+F459+'3. General Model Inputs'!$D$53*F626+F793)/F126)</f>
        <v>0</v>
      </c>
      <c r="G960" s="30">
        <f>IF(G126&lt;1,-(G292+G459+G626+G793),-(G292+G459+'3. General Model Inputs'!$D$53*G626+G793)/G126)</f>
        <v>0</v>
      </c>
      <c r="H960" s="30">
        <f>IF(H126&lt;1,-(H292+H459+H626+H793),-(H292+H459+'3. General Model Inputs'!$D$53*H626+H793)/H126)</f>
        <v>-45000</v>
      </c>
    </row>
    <row r="961" spans="2:8">
      <c r="B961" s="152">
        <f t="shared" si="31"/>
        <v>0</v>
      </c>
      <c r="D961" s="30">
        <f>IF(D127&lt;1,-(D293+D460+D627+D794),-(D293+D460+'3. General Model Inputs'!$D$53*D627+D794)/D127)</f>
        <v>-49501.270000000004</v>
      </c>
      <c r="E961" s="30">
        <f>IF(E127&lt;1,-(E293+E460+E627+E794),-(E293+E460+'3. General Model Inputs'!$D$53*E627+E794)/E127)</f>
        <v>-111377.8575</v>
      </c>
      <c r="F961" s="30">
        <f>IF(F127&lt;1,-(F293+F460+F627+F794),-(F293+F460+'3. General Model Inputs'!$D$53*F627+F794)/F127)</f>
        <v>-111377.8575</v>
      </c>
      <c r="G961" s="30">
        <f>IF(G127&lt;1,-(G293+G460+G627+G794),-(G293+G460+'3. General Model Inputs'!$D$53*G627+G794)/G127)</f>
        <v>-111377.85750000001</v>
      </c>
      <c r="H961" s="30">
        <f>IF(H127&lt;1,-(H293+H460+H627+H794),-(H293+H460+'3. General Model Inputs'!$D$53*H627+H794)/H127)</f>
        <v>-111377.85750000001</v>
      </c>
    </row>
    <row r="962" spans="2:8">
      <c r="B962" s="152">
        <f t="shared" si="31"/>
        <v>0</v>
      </c>
      <c r="D962" s="30">
        <f>IF(D128&lt;1,-(D294+D461+D628+D795),-(D294+D461+'3. General Model Inputs'!$D$53*D628+D795)/D128)</f>
        <v>0</v>
      </c>
      <c r="E962" s="30">
        <f>IF(E128&lt;1,-(E294+E461+E628+E795),-(E294+E461+'3. General Model Inputs'!$D$53*E628+E795)/E128)</f>
        <v>-6737.5</v>
      </c>
      <c r="F962" s="30">
        <f>IF(F128&lt;1,-(F294+F461+F628+F795),-(F294+F461+'3. General Model Inputs'!$D$53*F628+F795)/F128)</f>
        <v>-13647.75641025641</v>
      </c>
      <c r="G962" s="30">
        <f>IF(G128&lt;1,-(G294+G461+G628+G795),-(G294+G461+'3. General Model Inputs'!$D$53*G628+G795)/G128)</f>
        <v>-13647.75641025641</v>
      </c>
      <c r="H962" s="30">
        <f>IF(H128&lt;1,-(H294+H461+H628+H795),-(H294+H461+'3. General Model Inputs'!$D$53*H628+H795)/H128)</f>
        <v>-13647.756410256408</v>
      </c>
    </row>
    <row r="963" spans="2:8">
      <c r="B963" s="152">
        <f t="shared" si="31"/>
        <v>0</v>
      </c>
      <c r="D963" s="30">
        <f>IF(D129&lt;1,-(D295+D462+D629+D796),-(D295+D462+'3. General Model Inputs'!$D$53*D629+D796)/D129)</f>
        <v>0</v>
      </c>
      <c r="E963" s="30">
        <f>IF(E129&lt;1,-(E295+E462+E629+E796),-(E295+E462+'3. General Model Inputs'!$D$53*E629+E796)/E129)</f>
        <v>-476.66649999999998</v>
      </c>
      <c r="F963" s="30">
        <f>IF(F129&lt;1,-(F295+F462+F629+F796),-(F295+F462+'3. General Model Inputs'!$D$53*F629+F796)/F129)</f>
        <v>-965.555217948718</v>
      </c>
      <c r="G963" s="30">
        <f>IF(G129&lt;1,-(G295+G462+G629+G796),-(G295+G462+'3. General Model Inputs'!$D$53*G629+G796)/G129)</f>
        <v>-965.55521794871788</v>
      </c>
      <c r="H963" s="30">
        <f>IF(H129&lt;1,-(H295+H462+H629+H796),-(H295+H462+'3. General Model Inputs'!$D$53*H629+H796)/H129)</f>
        <v>-965.55521794871788</v>
      </c>
    </row>
    <row r="964" spans="2:8">
      <c r="B964" s="152">
        <f t="shared" si="31"/>
        <v>0</v>
      </c>
      <c r="D964" s="30">
        <f>IF(D130&lt;1,-(D296+D463+D630+D797),-(D296+D463+'3. General Model Inputs'!$D$53*D630+D797)/D130)</f>
        <v>0</v>
      </c>
      <c r="E964" s="30">
        <f>IF(E130&lt;1,-(E296+E463+E630+E797),-(E296+E463+'3. General Model Inputs'!$D$53*E630+E797)/E130)</f>
        <v>-5337.2</v>
      </c>
      <c r="F964" s="30">
        <f>IF(F130&lt;1,-(F296+F463+F630+F797),-(F296+F463+'3. General Model Inputs'!$D$53*F630+F797)/F130)</f>
        <v>-10811.251282051282</v>
      </c>
      <c r="G964" s="30">
        <f>IF(G130&lt;1,-(G296+G463+G630+G797),-(G296+G463+'3. General Model Inputs'!$D$53*G630+G797)/G130)</f>
        <v>-10811.251282051282</v>
      </c>
      <c r="H964" s="30">
        <f>IF(H130&lt;1,-(H296+H463+H630+H797),-(H296+H463+'3. General Model Inputs'!$D$53*H630+H797)/H130)</f>
        <v>-10811.251282051282</v>
      </c>
    </row>
    <row r="965" spans="2:8">
      <c r="B965" s="152">
        <f t="shared" si="31"/>
        <v>0</v>
      </c>
      <c r="D965" s="30">
        <f>IF(D131&lt;1,-(D297+D464+D631+D798),-(D297+D464+'3. General Model Inputs'!$D$53*D631+D798)/D131)</f>
        <v>0</v>
      </c>
      <c r="E965" s="30">
        <f>IF(E131&lt;1,-(E297+E464+E631+E798),-(E297+E464+'3. General Model Inputs'!$D$53*E631+E798)/E131)</f>
        <v>-15796.075000000001</v>
      </c>
      <c r="F965" s="30">
        <f>IF(F131&lt;1,-(F297+F464+F631+F798),-(F297+F464+'3. General Model Inputs'!$D$53*F631+F798)/F131)</f>
        <v>-31997.177564102567</v>
      </c>
      <c r="G965" s="30">
        <f>IF(G131&lt;1,-(G297+G464+G631+G798),-(G297+G464+'3. General Model Inputs'!$D$53*G631+G798)/G131)</f>
        <v>-31997.177564102567</v>
      </c>
      <c r="H965" s="30">
        <f>IF(H131&lt;1,-(H297+H464+H631+H798),-(H297+H464+'3. General Model Inputs'!$D$53*H631+H798)/H131)</f>
        <v>-31997.177564102571</v>
      </c>
    </row>
    <row r="966" spans="2:8">
      <c r="B966" s="152">
        <f t="shared" si="31"/>
        <v>0</v>
      </c>
      <c r="D966" s="30">
        <f>IF(D132&lt;1,-(D298+D465+D632+D799),-(D298+D465+'3. General Model Inputs'!$D$53*D632+D799)/D132)</f>
        <v>0</v>
      </c>
      <c r="E966" s="30">
        <f>IF(E132&lt;1,-(E298+E465+E632+E799),-(E298+E465+'3. General Model Inputs'!$D$53*E632+E799)/E132)</f>
        <v>-6490</v>
      </c>
      <c r="F966" s="30">
        <f>IF(F132&lt;1,-(F298+F465+F632+F799),-(F298+F465+'3. General Model Inputs'!$D$53*F632+F799)/F132)</f>
        <v>-13146.410256410256</v>
      </c>
      <c r="G966" s="30">
        <f>IF(G132&lt;1,-(G298+G465+G632+G799),-(G298+G465+'3. General Model Inputs'!$D$53*G632+G799)/G132)</f>
        <v>-13146.410256410256</v>
      </c>
      <c r="H966" s="30">
        <f>IF(H132&lt;1,-(H298+H465+H632+H799),-(H298+H465+'3. General Model Inputs'!$D$53*H632+H799)/H132)</f>
        <v>-13146.410256410256</v>
      </c>
    </row>
    <row r="967" spans="2:8">
      <c r="B967" s="152">
        <f t="shared" si="31"/>
        <v>0</v>
      </c>
      <c r="D967" s="30">
        <f>IF(D133&lt;1,-(D299+D466+D633+D800),-(D299+D466+'3. General Model Inputs'!$D$53*D633+D800)/D133)</f>
        <v>0</v>
      </c>
      <c r="E967" s="30">
        <f>IF(E133&lt;1,-(E299+E466+E633+E800),-(E299+E466+'3. General Model Inputs'!$D$53*E633+E800)/E133)</f>
        <v>-4056.25</v>
      </c>
      <c r="F967" s="30">
        <f>IF(F133&lt;1,-(F299+F466+F633+F800),-(F299+F466+'3. General Model Inputs'!$D$53*F633+F800)/F133)</f>
        <v>-8216.5064102564102</v>
      </c>
      <c r="G967" s="30">
        <f>IF(G133&lt;1,-(G299+G466+G633+G800),-(G299+G466+'3. General Model Inputs'!$D$53*G633+G800)/G133)</f>
        <v>-8216.5064102564102</v>
      </c>
      <c r="H967" s="30">
        <f>IF(H133&lt;1,-(H299+H466+H633+H800),-(H299+H466+'3. General Model Inputs'!$D$53*H633+H800)/H133)</f>
        <v>-8216.5064102564083</v>
      </c>
    </row>
    <row r="968" spans="2:8">
      <c r="B968" s="152">
        <f t="shared" si="31"/>
        <v>0</v>
      </c>
      <c r="D968" s="30">
        <f>IF(D134&lt;1,-(D300+D467+D634+D801),-(D300+D467+'3. General Model Inputs'!$D$53*D634+D801)/D134)</f>
        <v>-390.21199999999988</v>
      </c>
      <c r="E968" s="30">
        <f>IF(E134&lt;1,-(E300+E467+E634+E801),-(E300+E467+'3. General Model Inputs'!$D$53*E634+E801)/E134)</f>
        <v>-785.36339240506311</v>
      </c>
      <c r="F968" s="30">
        <f>IF(F134&lt;1,-(F300+F467+F634+F801),-(F300+F467+'3. General Model Inputs'!$D$53*F634+F801)/F134)</f>
        <v>-785.363392405063</v>
      </c>
      <c r="G968" s="30">
        <f>IF(G134&lt;1,-(G300+G467+G634+G801),-(G300+G467+'3. General Model Inputs'!$D$53*G634+G801)/G134)</f>
        <v>-785.363392405063</v>
      </c>
      <c r="H968" s="30">
        <f>IF(H134&lt;1,-(H300+H467+H634+H801),-(H300+H467+'3. General Model Inputs'!$D$53*H634+H801)/H134)</f>
        <v>-785.363392405063</v>
      </c>
    </row>
    <row r="969" spans="2:8">
      <c r="B969" s="152">
        <f t="shared" si="31"/>
        <v>0</v>
      </c>
      <c r="D969" s="30">
        <f>IF(D135&lt;1,-(D301+D468+D635+D802),-(D301+D468+'3. General Model Inputs'!$D$53*D635+D802)/D135)</f>
        <v>0</v>
      </c>
      <c r="E969" s="30">
        <f>IF(E135&lt;1,-(E301+E468+E635+E802),-(E301+E468+'3. General Model Inputs'!$D$53*E635+E802)/E135)</f>
        <v>-28000</v>
      </c>
      <c r="F969" s="30">
        <f>IF(F135&lt;1,-(F301+F468+F635+F802),-(F301+F468+'3. General Model Inputs'!$D$53*F635+F802)/F135)</f>
        <v>-63000</v>
      </c>
      <c r="G969" s="30">
        <f>IF(G135&lt;1,-(G301+G468+G635+G802),-(G301+G468+'3. General Model Inputs'!$D$53*G635+G802)/G135)</f>
        <v>-63000</v>
      </c>
      <c r="H969" s="30">
        <f>IF(H135&lt;1,-(H301+H468+H635+H802),-(H301+H468+'3. General Model Inputs'!$D$53*H635+H802)/H135)</f>
        <v>-63000</v>
      </c>
    </row>
    <row r="970" spans="2:8">
      <c r="B970" s="152">
        <f t="shared" si="31"/>
        <v>0</v>
      </c>
      <c r="D970" s="30">
        <f>IF(D136&lt;1,-(D302+D469+D636+D803),-(D302+D469+'3. General Model Inputs'!$D$53*D636+D803)/D136)</f>
        <v>-868.03050000000007</v>
      </c>
      <c r="E970" s="30">
        <f>IF(E136&lt;1,-(E302+E469+E636+E803),-(E302+E469+'3. General Model Inputs'!$D$53*E636+E803)/E136)</f>
        <v>-1781.7468157894737</v>
      </c>
      <c r="F970" s="30">
        <f>IF(F136&lt;1,-(F302+F469+F636+F803),-(F302+F469+'3. General Model Inputs'!$D$53*F636+F803)/F136)</f>
        <v>-1781.7468157894737</v>
      </c>
      <c r="G970" s="30">
        <f>IF(G136&lt;1,-(G302+G469+G636+G803),-(G302+G469+'3. General Model Inputs'!$D$53*G636+G803)/G136)</f>
        <v>-1781.7468157894739</v>
      </c>
      <c r="H970" s="30">
        <f>IF(H136&lt;1,-(H302+H469+H636+H803),-(H302+H469+'3. General Model Inputs'!$D$53*H636+H803)/H136)</f>
        <v>-1781.7468157894739</v>
      </c>
    </row>
    <row r="971" spans="2:8">
      <c r="B971" s="152">
        <f t="shared" si="31"/>
        <v>0</v>
      </c>
      <c r="D971" s="30">
        <f>IF(D137&lt;1,-(D303+D470+D637+D804),-(D303+D470+'3. General Model Inputs'!$D$53*D637+D804)/D137)</f>
        <v>-30.8486875</v>
      </c>
      <c r="E971" s="30">
        <f>IF(E137&lt;1,-(E303+E470+E637+E804),-(E303+E470+'3. General Model Inputs'!$D$53*E637+E804)/E137)</f>
        <v>-62.087864715189873</v>
      </c>
      <c r="F971" s="30">
        <f>IF(F137&lt;1,-(F303+F470+F637+F804),-(F303+F470+'3. General Model Inputs'!$D$53*F637+F804)/F137)</f>
        <v>-62.08786471518988</v>
      </c>
      <c r="G971" s="30">
        <f>IF(G137&lt;1,-(G303+G470+G637+G804),-(G303+G470+'3. General Model Inputs'!$D$53*G637+G804)/G137)</f>
        <v>-62.087864715189873</v>
      </c>
      <c r="H971" s="30">
        <f>IF(H137&lt;1,-(H303+H470+H637+H804),-(H303+H470+'3. General Model Inputs'!$D$53*H637+H804)/H137)</f>
        <v>-62.08786471518988</v>
      </c>
    </row>
    <row r="972" spans="2:8">
      <c r="B972" s="152">
        <f t="shared" si="31"/>
        <v>0</v>
      </c>
      <c r="D972" s="30">
        <f>IF(D138&lt;1,-(D304+D471+D638+D805),-(D304+D471+'3. General Model Inputs'!$D$53*D638+D805)/D138)</f>
        <v>-1261.5523750000002</v>
      </c>
      <c r="E972" s="30">
        <f>IF(E138&lt;1,-(E304+E471+E638+E805),-(E304+E471+'3. General Model Inputs'!$D$53*E638+E805)/E138)</f>
        <v>-2555.4522467948723</v>
      </c>
      <c r="F972" s="30">
        <f>IF(F138&lt;1,-(F304+F471+F638+F805),-(F304+F471+'3. General Model Inputs'!$D$53*F638+F805)/F138)</f>
        <v>-2555.4522467948723</v>
      </c>
      <c r="G972" s="30">
        <f>IF(G138&lt;1,-(G304+G471+G638+G805),-(G304+G471+'3. General Model Inputs'!$D$53*G638+G805)/G138)</f>
        <v>-2555.4522467948723</v>
      </c>
      <c r="H972" s="30">
        <f>IF(H138&lt;1,-(H304+H471+H638+H805),-(H304+H471+'3. General Model Inputs'!$D$53*H638+H805)/H138)</f>
        <v>-2555.4522467948723</v>
      </c>
    </row>
    <row r="973" spans="2:8">
      <c r="B973" s="152">
        <f t="shared" si="31"/>
        <v>0</v>
      </c>
      <c r="D973" s="30">
        <f>IF(D139&lt;1,-(D305+D472+D639+D806),-(D305+D472+'3. General Model Inputs'!$D$53*D639+D806)/D139)</f>
        <v>-70.249166666666667</v>
      </c>
      <c r="E973" s="30">
        <f>IF(E139&lt;1,-(E305+E472+E639+E806),-(E305+E472+'3. General Model Inputs'!$D$53*E639+E806)/E139)</f>
        <v>-141.68899717514125</v>
      </c>
      <c r="F973" s="30">
        <f>IF(F139&lt;1,-(F305+F472+F639+F806),-(F305+F472+'3. General Model Inputs'!$D$53*F639+F806)/F139)</f>
        <v>-141.68899717514125</v>
      </c>
      <c r="G973" s="30">
        <f>IF(G139&lt;1,-(G305+G472+G639+G806),-(G305+G472+'3. General Model Inputs'!$D$53*G639+G806)/G139)</f>
        <v>-141.68899717514125</v>
      </c>
      <c r="H973" s="30">
        <f>IF(H139&lt;1,-(H305+H472+H639+H806),-(H305+H472+'3. General Model Inputs'!$D$53*H639+H806)/H139)</f>
        <v>-141.68899717514122</v>
      </c>
    </row>
    <row r="974" spans="2:8">
      <c r="B974" s="152">
        <f t="shared" si="31"/>
        <v>0</v>
      </c>
      <c r="D974" s="30">
        <f>IF(D140&lt;1,-(D306+D473+D640+D807),-(D306+D473+'3. General Model Inputs'!$D$53*D640+D807)/D140)</f>
        <v>-291.7650000000001</v>
      </c>
      <c r="E974" s="30">
        <f>IF(E140&lt;1,-(E306+E473+E640+E807),-(E306+E473+'3. General Model Inputs'!$D$53*E640+E807)/E140)</f>
        <v>-588.47516949152566</v>
      </c>
      <c r="F974" s="30">
        <f>IF(F140&lt;1,-(F306+F473+F640+F807),-(F306+F473+'3. General Model Inputs'!$D$53*F640+F807)/F140)</f>
        <v>-588.47516949152566</v>
      </c>
      <c r="G974" s="30">
        <f>IF(G140&lt;1,-(G306+G473+G640+G807),-(G306+G473+'3. General Model Inputs'!$D$53*G640+G807)/G140)</f>
        <v>-588.47516949152566</v>
      </c>
      <c r="H974" s="30">
        <f>IF(H140&lt;1,-(H306+H473+H640+H807),-(H306+H473+'3. General Model Inputs'!$D$53*H640+H807)/H140)</f>
        <v>-588.47516949152566</v>
      </c>
    </row>
    <row r="975" spans="2:8">
      <c r="B975" s="152">
        <f t="shared" si="31"/>
        <v>0</v>
      </c>
      <c r="D975" s="30">
        <f>IF(D141&lt;1,-(D307+D474+D641+D808),-(D307+D474+'3. General Model Inputs'!$D$53*D641+D808)/D141)</f>
        <v>0</v>
      </c>
      <c r="E975" s="30">
        <f>IF(E141&lt;1,-(E307+E474+E641+E808),-(E307+E474+'3. General Model Inputs'!$D$53*E641+E808)/E141)</f>
        <v>-458.33333333333331</v>
      </c>
      <c r="F975" s="30">
        <f>IF(F141&lt;1,-(F307+F474+F641+F808),-(F307+F474+'3. General Model Inputs'!$D$53*F641+F808)/F141)</f>
        <v>-924.43502824858751</v>
      </c>
      <c r="G975" s="30">
        <f>IF(G141&lt;1,-(G307+G474+G641+G808),-(G307+G474+'3. General Model Inputs'!$D$53*G641+G808)/G141)</f>
        <v>-924.43502824858751</v>
      </c>
      <c r="H975" s="30">
        <f>IF(H141&lt;1,-(H307+H474+H641+H808),-(H307+H474+'3. General Model Inputs'!$D$53*H641+H808)/H141)</f>
        <v>-924.4350282485874</v>
      </c>
    </row>
    <row r="976" spans="2:8">
      <c r="B976" s="152">
        <f t="shared" si="31"/>
        <v>0</v>
      </c>
      <c r="D976" s="30">
        <f>IF(D142&lt;1,-(D308+D475+D642+D809),-(D308+D475+'3. General Model Inputs'!$D$53*D642+D809)/D142)</f>
        <v>0</v>
      </c>
      <c r="E976" s="30">
        <f>IF(E142&lt;1,-(E308+E475+E642+E809),-(E308+E475+'3. General Model Inputs'!$D$53*E642+E809)/E142)</f>
        <v>0</v>
      </c>
      <c r="F976" s="30">
        <f>IF(F142&lt;1,-(F308+F475+F642+F809),-(F308+F475+'3. General Model Inputs'!$D$53*F642+F809)/F142)</f>
        <v>-166.66666666666666</v>
      </c>
      <c r="G976" s="30">
        <f>IF(G142&lt;1,-(G308+G475+G642+G809),-(G308+G475+'3. General Model Inputs'!$D$53*G642+G809)/G142)</f>
        <v>-336.15819209039546</v>
      </c>
      <c r="H976" s="30">
        <f>IF(H142&lt;1,-(H308+H475+H642+H809),-(H308+H475+'3. General Model Inputs'!$D$53*H642+H809)/H142)</f>
        <v>-336.15819209039546</v>
      </c>
    </row>
    <row r="977" spans="2:8">
      <c r="B977" s="152">
        <f t="shared" si="31"/>
        <v>0</v>
      </c>
      <c r="D977" s="30">
        <f>IF(D143&lt;1,-(D309+D476+D643+D810),-(D309+D476+'3. General Model Inputs'!$D$53*D643+D810)/D143)</f>
        <v>0</v>
      </c>
      <c r="E977" s="30">
        <f>IF(E143&lt;1,-(E309+E476+E643+E810),-(E309+E476+'3. General Model Inputs'!$D$53*E643+E810)/E143)</f>
        <v>0</v>
      </c>
      <c r="F977" s="30">
        <f>IF(F143&lt;1,-(F309+F476+F643+F810),-(F309+F476+'3. General Model Inputs'!$D$53*F643+F810)/F143)</f>
        <v>0</v>
      </c>
      <c r="G977" s="30">
        <f>IF(G143&lt;1,-(G309+G476+G643+G810),-(G309+G476+'3. General Model Inputs'!$D$53*G643+G810)/G143)</f>
        <v>-166.66666666666666</v>
      </c>
      <c r="H977" s="30">
        <f>IF(H143&lt;1,-(H309+H476+H643+H810),-(H309+H476+'3. General Model Inputs'!$D$53*H643+H810)/H143)</f>
        <v>-336.15819209039546</v>
      </c>
    </row>
    <row r="978" spans="2:8">
      <c r="B978" s="152">
        <f t="shared" si="31"/>
        <v>0</v>
      </c>
      <c r="D978" s="30">
        <f>IF(D144&lt;1,-(D310+D477+D644+D811),-(D310+D477+'3. General Model Inputs'!$D$53*D644+D811)/D144)</f>
        <v>0</v>
      </c>
      <c r="E978" s="30">
        <f>IF(E144&lt;1,-(E310+E477+E644+E811),-(E310+E477+'3. General Model Inputs'!$D$53*E644+E811)/E144)</f>
        <v>0</v>
      </c>
      <c r="F978" s="30">
        <f>IF(F144&lt;1,-(F310+F477+F644+F811),-(F310+F477+'3. General Model Inputs'!$D$53*F644+F811)/F144)</f>
        <v>0</v>
      </c>
      <c r="G978" s="30">
        <f>IF(G144&lt;1,-(G310+G477+G644+G811),-(G310+G477+'3. General Model Inputs'!$D$53*G644+G811)/G144)</f>
        <v>0</v>
      </c>
      <c r="H978" s="30">
        <f>IF(H144&lt;1,-(H310+H477+H644+H811),-(H310+H477+'3. General Model Inputs'!$D$53*H644+H811)/H144)</f>
        <v>-166.66666666666666</v>
      </c>
    </row>
    <row r="979" spans="2:8">
      <c r="B979" s="152">
        <f t="shared" si="31"/>
        <v>0</v>
      </c>
      <c r="D979" s="30">
        <f>IF(D145&lt;1,-(D311+D478+D645+D812),-(D311+D478+'3. General Model Inputs'!$D$53*D645+D812)/D145)</f>
        <v>-430.34587499999986</v>
      </c>
      <c r="E979" s="30">
        <f>IF(E145&lt;1,-(E311+E478+E645+E812),-(E311+E478+'3. General Model Inputs'!$D$53*E645+E812)/E145)</f>
        <v>-871.72625961538438</v>
      </c>
      <c r="F979" s="30">
        <f>IF(F145&lt;1,-(F311+F478+F645+F812),-(F311+F478+'3. General Model Inputs'!$D$53*F645+F812)/F145)</f>
        <v>-871.72625961538449</v>
      </c>
      <c r="G979" s="30">
        <f>IF(G145&lt;1,-(G311+G478+G645+G812),-(G311+G478+'3. General Model Inputs'!$D$53*G645+G812)/G145)</f>
        <v>-871.72625961538449</v>
      </c>
      <c r="H979" s="30">
        <f>IF(H145&lt;1,-(H311+H478+H645+H812),-(H311+H478+'3. General Model Inputs'!$D$53*H645+H812)/H145)</f>
        <v>-871.72625961538449</v>
      </c>
    </row>
    <row r="980" spans="2:8">
      <c r="B980" s="152">
        <f t="shared" si="31"/>
        <v>0</v>
      </c>
      <c r="D980" s="30">
        <f>IF(D146&lt;1,-(D312+D479+D646+D813),-(D312+D479+'3. General Model Inputs'!$D$53*D646+D813)/D146)</f>
        <v>-9523.4909166666675</v>
      </c>
      <c r="E980" s="30">
        <f>IF(E146&lt;1,-(E312+E479+E646+E813),-(E312+E479+'3. General Model Inputs'!$D$53*E646+E813)/E146)</f>
        <v>-19208.396933615822</v>
      </c>
      <c r="F980" s="30">
        <f>IF(F146&lt;1,-(F312+F479+F646+F813),-(F312+F479+'3. General Model Inputs'!$D$53*F646+F813)/F146)</f>
        <v>-19208.396933615822</v>
      </c>
      <c r="G980" s="30">
        <f>IF(G146&lt;1,-(G312+G479+G646+G813),-(G312+G479+'3. General Model Inputs'!$D$53*G646+G813)/G146)</f>
        <v>-19208.396933615819</v>
      </c>
      <c r="H980" s="30">
        <f>IF(H146&lt;1,-(H312+H479+H646+H813),-(H312+H479+'3. General Model Inputs'!$D$53*H646+H813)/H146)</f>
        <v>-19208.396933615819</v>
      </c>
    </row>
    <row r="981" spans="2:8">
      <c r="B981" s="152">
        <f t="shared" si="31"/>
        <v>0</v>
      </c>
      <c r="D981" s="30">
        <f>IF(D147&lt;1,-(D313+D480+D647+D814),-(D313+D480+'3. General Model Inputs'!$D$53*D647+D814)/D147)</f>
        <v>0</v>
      </c>
      <c r="E981" s="30">
        <f>IF(E147&lt;1,-(E313+E480+E647+E814),-(E313+E480+'3. General Model Inputs'!$D$53*E647+E814)/E147)</f>
        <v>-170.47499999999999</v>
      </c>
      <c r="F981" s="30">
        <f>IF(F147&lt;1,-(F313+F480+F647+F814),-(F313+F480+'3. General Model Inputs'!$D$53*F647+F814)/F147)</f>
        <v>-343.83940677966103</v>
      </c>
      <c r="G981" s="30">
        <f>IF(G147&lt;1,-(G313+G480+G647+G814),-(G313+G480+'3. General Model Inputs'!$D$53*G647+G814)/G147)</f>
        <v>-343.83940677966103</v>
      </c>
      <c r="H981" s="30">
        <f>IF(H147&lt;1,-(H313+H480+H647+H814),-(H313+H480+'3. General Model Inputs'!$D$53*H647+H814)/H147)</f>
        <v>-343.83940677966103</v>
      </c>
    </row>
    <row r="982" spans="2:8">
      <c r="B982" s="152">
        <f t="shared" si="31"/>
        <v>0</v>
      </c>
      <c r="D982" s="30">
        <f>IF(D148&lt;1,-(D314+D481+D648+D815),-(D314+D481+'3. General Model Inputs'!$D$53*D648+D815)/D148)</f>
        <v>-2990.7560000000003</v>
      </c>
      <c r="E982" s="30">
        <f>IF(E148&lt;1,-(E314+E481+E648+E815),-(E314+E481+'3. General Model Inputs'!$D$53*E648+E815)/E148)</f>
        <v>-6138.9202105263166</v>
      </c>
      <c r="F982" s="30">
        <f>IF(F148&lt;1,-(F314+F481+F648+F815),-(F314+F481+'3. General Model Inputs'!$D$53*F648+F815)/F148)</f>
        <v>-6138.9202105263166</v>
      </c>
      <c r="G982" s="30">
        <f>IF(G148&lt;1,-(G314+G481+G648+G815),-(G314+G481+'3. General Model Inputs'!$D$53*G648+G815)/G148)</f>
        <v>-6138.9202105263175</v>
      </c>
      <c r="H982" s="30">
        <f>IF(H148&lt;1,-(H314+H481+H648+H815),-(H314+H481+'3. General Model Inputs'!$D$53*H648+H815)/H148)</f>
        <v>-6138.9202105263175</v>
      </c>
    </row>
    <row r="983" spans="2:8">
      <c r="B983" s="152">
        <f t="shared" si="31"/>
        <v>0</v>
      </c>
      <c r="D983" s="30">
        <f>IF(D149&lt;1,-(D315+D482+D649+D816),-(D315+D482+'3. General Model Inputs'!$D$53*D649+D816)/D149)</f>
        <v>0</v>
      </c>
      <c r="E983" s="30">
        <f>IF(E149&lt;1,-(E315+E482+E649+E816),-(E315+E482+'3. General Model Inputs'!$D$53*E649+E816)/E149)</f>
        <v>-996.65</v>
      </c>
      <c r="F983" s="30">
        <f>IF(F149&lt;1,-(F315+F482+F649+F816),-(F315+F482+'3. General Model Inputs'!$D$53*F649+F816)/F149)</f>
        <v>-2045.7552631578947</v>
      </c>
      <c r="G983" s="30">
        <f>IF(G149&lt;1,-(G315+G482+G649+G816),-(G315+G482+'3. General Model Inputs'!$D$53*G649+G816)/G149)</f>
        <v>-2045.7552631578947</v>
      </c>
      <c r="H983" s="30">
        <f>IF(H149&lt;1,-(H315+H482+H649+H816),-(H315+H482+'3. General Model Inputs'!$D$53*H649+H816)/H149)</f>
        <v>-2045.7552631578947</v>
      </c>
    </row>
    <row r="984" spans="2:8">
      <c r="B984" s="152">
        <f t="shared" ref="B984:B1017" si="32">B817</f>
        <v>0</v>
      </c>
      <c r="D984" s="30">
        <f>IF(D150&lt;1,-(D316+D483+D650+D817),-(D316+D483+'3. General Model Inputs'!$D$53*D650+D817)/D150)</f>
        <v>0</v>
      </c>
      <c r="E984" s="30">
        <f>IF(E150&lt;1,-(E316+E483+E650+E817),-(E316+E483+'3. General Model Inputs'!$D$53*E650+E817)/E150)</f>
        <v>-1040937</v>
      </c>
      <c r="F984" s="30">
        <f>IF(F150&lt;1,-(F316+F483+F650+F817),-(F316+F483+'3. General Model Inputs'!$D$53*F650+F817)/F150)</f>
        <v>0</v>
      </c>
      <c r="G984" s="30">
        <f>IF(G150&lt;1,-(G316+G483+G650+G817),-(G316+G483+'3. General Model Inputs'!$D$53*G650+G817)/G150)</f>
        <v>0</v>
      </c>
      <c r="H984" s="30">
        <f>IF(H150&lt;1,-(H316+H483+H650+H817),-(H316+H483+'3. General Model Inputs'!$D$53*H650+H817)/H150)</f>
        <v>0</v>
      </c>
    </row>
    <row r="985" spans="2:8">
      <c r="B985" s="152">
        <f t="shared" si="32"/>
        <v>0</v>
      </c>
      <c r="D985" s="30">
        <f>IF(D151&lt;1,-(D317+D484+D651+D818),-(D317+D484+'3. General Model Inputs'!$D$53*D651+D818)/D151)</f>
        <v>-3093.0922500000001</v>
      </c>
      <c r="E985" s="30">
        <f>IF(E151&lt;1,-(E317+E484+E651+E818),-(E317+E484+'3. General Model Inputs'!$D$53*E651+E818)/E151)</f>
        <v>-6348.9788289473681</v>
      </c>
      <c r="F985" s="30">
        <f>IF(F151&lt;1,-(F317+F484+F651+F818),-(F317+F484+'3. General Model Inputs'!$D$53*F651+F818)/F151)</f>
        <v>-6348.978828947369</v>
      </c>
      <c r="G985" s="30">
        <f>IF(G151&lt;1,-(G317+G484+G651+G818),-(G317+G484+'3. General Model Inputs'!$D$53*G651+G818)/G151)</f>
        <v>-6348.978828947369</v>
      </c>
      <c r="H985" s="30">
        <f>IF(H151&lt;1,-(H317+H484+H651+H818),-(H317+H484+'3. General Model Inputs'!$D$53*H651+H818)/H151)</f>
        <v>-6348.978828947369</v>
      </c>
    </row>
    <row r="986" spans="2:8">
      <c r="B986" s="152">
        <f t="shared" si="32"/>
        <v>0</v>
      </c>
      <c r="D986" s="30">
        <f>IF(D152&lt;1,-(D318+D485+D652+D819),-(D318+D485+'3. General Model Inputs'!$D$53*D652+D819)/D152)</f>
        <v>0</v>
      </c>
      <c r="E986" s="30">
        <f>IF(E152&lt;1,-(E318+E485+E652+E819),-(E318+E485+'3. General Model Inputs'!$D$53*E652+E819)/E152)</f>
        <v>-23615.308499999999</v>
      </c>
      <c r="F986" s="30">
        <f>IF(F152&lt;1,-(F318+F485+F652+F819),-(F318+F485+'3. General Model Inputs'!$D$53*F652+F819)/F152)</f>
        <v>-48473.527973684206</v>
      </c>
      <c r="G986" s="30">
        <f>IF(G152&lt;1,-(G318+G485+G652+G819),-(G318+G485+'3. General Model Inputs'!$D$53*G652+G819)/G152)</f>
        <v>-48473.527973684206</v>
      </c>
      <c r="H986" s="30">
        <f>IF(H152&lt;1,-(H318+H485+H652+H819),-(H318+H485+'3. General Model Inputs'!$D$53*H652+H819)/H152)</f>
        <v>-48473.527973684199</v>
      </c>
    </row>
    <row r="987" spans="2:8">
      <c r="B987" s="152">
        <f t="shared" si="32"/>
        <v>0</v>
      </c>
      <c r="D987" s="30">
        <f>IF(D153&lt;1,-(D319+D486+D653+D820),-(D319+D486+'3. General Model Inputs'!$D$53*D653+D820)/D153)</f>
        <v>0</v>
      </c>
      <c r="E987" s="30">
        <f>IF(E153&lt;1,-(E319+E486+E653+E820),-(E319+E486+'3. General Model Inputs'!$D$53*E653+E820)/E153)</f>
        <v>0</v>
      </c>
      <c r="F987" s="30">
        <f>IF(F153&lt;1,-(F319+F486+F653+F820),-(F319+F486+'3. General Model Inputs'!$D$53*F653+F820)/F153)</f>
        <v>-942.375</v>
      </c>
      <c r="G987" s="30">
        <f>IF(G153&lt;1,-(G319+G486+G653+G820),-(G319+G486+'3. General Model Inputs'!$D$53*G653+G820)/G153)</f>
        <v>-1934.3486842105262</v>
      </c>
      <c r="H987" s="30">
        <f>IF(H153&lt;1,-(H319+H486+H653+H820),-(H319+H486+'3. General Model Inputs'!$D$53*H653+H820)/H153)</f>
        <v>-1934.3486842105262</v>
      </c>
    </row>
    <row r="988" spans="2:8">
      <c r="B988" s="152">
        <f t="shared" si="32"/>
        <v>0</v>
      </c>
      <c r="D988" s="30">
        <f>IF(D154&lt;1,-(D320+D487+D654+D821),-(D320+D487+'3. General Model Inputs'!$D$53*D654+D821)/D154)</f>
        <v>-253.01356249999998</v>
      </c>
      <c r="E988" s="30">
        <f>IF(E154&lt;1,-(E320+E487+E654+E821),-(E320+E487+'3. General Model Inputs'!$D$53*E654+E821)/E154)</f>
        <v>-509.22982832278484</v>
      </c>
      <c r="F988" s="30">
        <f>IF(F154&lt;1,-(F320+F487+F654+F821),-(F320+F487+'3. General Model Inputs'!$D$53*F654+F821)/F154)</f>
        <v>-509.22982832278478</v>
      </c>
      <c r="G988" s="30">
        <f>IF(G154&lt;1,-(G320+G487+G654+G821),-(G320+G487+'3. General Model Inputs'!$D$53*G654+G821)/G154)</f>
        <v>-509.22982832278478</v>
      </c>
      <c r="H988" s="30">
        <f>IF(H154&lt;1,-(H320+H487+H654+H821),-(H320+H487+'3. General Model Inputs'!$D$53*H654+H821)/H154)</f>
        <v>-509.22982832278478</v>
      </c>
    </row>
    <row r="989" spans="2:8">
      <c r="B989" s="152">
        <f t="shared" si="32"/>
        <v>0</v>
      </c>
      <c r="D989" s="30">
        <f>IF(D155&lt;1,-(D321+D488+D655+D822),-(D321+D488+'3. General Model Inputs'!$D$53*D655+D822)/D155)</f>
        <v>-2572.89725</v>
      </c>
      <c r="E989" s="30">
        <f>IF(E155&lt;1,-(E321+E488+E655+E822),-(E321+E488+'3. General Model Inputs'!$D$53*E655+E822)/E155)</f>
        <v>-5281.2101447368423</v>
      </c>
      <c r="F989" s="30">
        <f>IF(F155&lt;1,-(F321+F488+F655+F822),-(F321+F488+'3. General Model Inputs'!$D$53*F655+F822)/F155)</f>
        <v>-5281.2101447368423</v>
      </c>
      <c r="G989" s="30">
        <f>IF(G155&lt;1,-(G321+G488+G655+G822),-(G321+G488+'3. General Model Inputs'!$D$53*G655+G822)/G155)</f>
        <v>-5281.2101447368414</v>
      </c>
      <c r="H989" s="30">
        <f>IF(H155&lt;1,-(H321+H488+H655+H822),-(H321+H488+'3. General Model Inputs'!$D$53*H655+H822)/H155)</f>
        <v>-5281.2101447368414</v>
      </c>
    </row>
    <row r="990" spans="2:8">
      <c r="B990" s="152">
        <f t="shared" si="32"/>
        <v>0</v>
      </c>
      <c r="D990" s="30">
        <f>IF(D156&lt;1,-(D322+D489+D656+D823),-(D322+D489+'3. General Model Inputs'!$D$53*D656+D823)/D156)</f>
        <v>-6688.2164999999959</v>
      </c>
      <c r="E990" s="30">
        <f>IF(E156&lt;1,-(E322+E489+E656+E823),-(E322+E489+'3. General Model Inputs'!$D$53*E656+E823)/E156)</f>
        <v>-13489.792601694908</v>
      </c>
      <c r="F990" s="30">
        <f>IF(F156&lt;1,-(F322+F489+F656+F823),-(F322+F489+'3. General Model Inputs'!$D$53*F656+F823)/F156)</f>
        <v>-13489.792601694908</v>
      </c>
      <c r="G990" s="30">
        <f>IF(G156&lt;1,-(G322+G489+G656+G823),-(G322+G489+'3. General Model Inputs'!$D$53*G656+G823)/G156)</f>
        <v>-13489.792601694906</v>
      </c>
      <c r="H990" s="30">
        <f>IF(H156&lt;1,-(H322+H489+H656+H823),-(H322+H489+'3. General Model Inputs'!$D$53*H656+H823)/H156)</f>
        <v>-13489.792601694906</v>
      </c>
    </row>
    <row r="991" spans="2:8">
      <c r="B991" s="152">
        <f t="shared" si="32"/>
        <v>0</v>
      </c>
      <c r="D991" s="30">
        <f>IF(D157&lt;1,-(D323+D490+D657+D824),-(D323+D490+'3. General Model Inputs'!$D$53*D657+D824)/D157)</f>
        <v>0</v>
      </c>
      <c r="E991" s="30">
        <f>IF(E157&lt;1,-(E323+E490+E657+E824),-(E323+E490+'3. General Model Inputs'!$D$53*E657+E824)/E157)</f>
        <v>-10054.922166666665</v>
      </c>
      <c r="F991" s="30">
        <f>IF(F157&lt;1,-(F323+F490+F657+F824),-(F323+F490+'3. General Model Inputs'!$D$53*F657+F824)/F157)</f>
        <v>-20280.266742937853</v>
      </c>
      <c r="G991" s="30">
        <f>IF(G157&lt;1,-(G323+G490+G657+G824),-(G323+G490+'3. General Model Inputs'!$D$53*G657+G824)/G157)</f>
        <v>-20280.266742937849</v>
      </c>
      <c r="H991" s="30">
        <f>IF(H157&lt;1,-(H323+H490+H657+H824),-(H323+H490+'3. General Model Inputs'!$D$53*H657+H824)/H157)</f>
        <v>-20280.266742937845</v>
      </c>
    </row>
    <row r="992" spans="2:8">
      <c r="B992" s="152">
        <f t="shared" si="32"/>
        <v>0</v>
      </c>
      <c r="D992" s="30">
        <f>IF(D158&lt;1,-(D324+D491+D658+D825),-(D324+D491+'3. General Model Inputs'!$D$53*D658+D825)/D158)</f>
        <v>0</v>
      </c>
      <c r="E992" s="30">
        <f>IF(E158&lt;1,-(E324+E491+E658+E825),-(E324+E491+'3. General Model Inputs'!$D$53*E658+E825)/E158)</f>
        <v>0</v>
      </c>
      <c r="F992" s="30">
        <f>IF(F158&lt;1,-(F324+F491+F658+F825),-(F324+F491+'3. General Model Inputs'!$D$53*F658+F825)/F158)</f>
        <v>-5149.2833333333338</v>
      </c>
      <c r="G992" s="30">
        <f>IF(G158&lt;1,-(G324+G491+G658+G825),-(G324+G491+'3. General Model Inputs'!$D$53*G658+G825)/G158)</f>
        <v>-10385.842655367233</v>
      </c>
      <c r="H992" s="30">
        <f>IF(H158&lt;1,-(H324+H491+H658+H825),-(H324+H491+'3. General Model Inputs'!$D$53*H658+H825)/H158)</f>
        <v>-10385.842655367233</v>
      </c>
    </row>
    <row r="993" spans="2:8">
      <c r="B993" s="152">
        <f t="shared" si="32"/>
        <v>0</v>
      </c>
      <c r="D993" s="30">
        <f>IF(D159&lt;1,-(D325+D492+D659+D826),-(D325+D492+'3. General Model Inputs'!$D$53*D659+D826)/D159)</f>
        <v>-87.547166666666669</v>
      </c>
      <c r="E993" s="30">
        <f>IF(E159&lt;1,-(E325+E492+E659+E826),-(E325+E492+'3. General Model Inputs'!$D$53*E659+E826)/E159)</f>
        <v>-176.5781836158192</v>
      </c>
      <c r="F993" s="30">
        <f>IF(F159&lt;1,-(F325+F492+F659+F826),-(F325+F492+'3. General Model Inputs'!$D$53*F659+F826)/F159)</f>
        <v>-176.5781836158192</v>
      </c>
      <c r="G993" s="30">
        <f>IF(G159&lt;1,-(G325+G492+G659+G826),-(G325+G492+'3. General Model Inputs'!$D$53*G659+G826)/G159)</f>
        <v>-176.57818361581923</v>
      </c>
      <c r="H993" s="30">
        <f>IF(H159&lt;1,-(H325+H492+H659+H826),-(H325+H492+'3. General Model Inputs'!$D$53*H659+H826)/H159)</f>
        <v>-176.57818361581923</v>
      </c>
    </row>
    <row r="994" spans="2:8">
      <c r="B994" s="152">
        <f t="shared" si="32"/>
        <v>0</v>
      </c>
      <c r="D994" s="30">
        <f>IF(D160&lt;1,-(D326+D493+D660+D827),-(D326+D493+'3. General Model Inputs'!$D$53*D660+D827)/D160)</f>
        <v>0</v>
      </c>
      <c r="E994" s="30">
        <f>IF(E160&lt;1,-(E326+E493+E660+E827),-(E326+E493+'3. General Model Inputs'!$D$53*E660+E827)/E160)</f>
        <v>-1878.5083333333334</v>
      </c>
      <c r="F994" s="30">
        <f>IF(F160&lt;1,-(F326+F493+F660+F827),-(F326+F493+'3. General Model Inputs'!$D$53*F660+F827)/F160)</f>
        <v>-3788.8557909604519</v>
      </c>
      <c r="G994" s="30">
        <f>IF(G160&lt;1,-(G326+G493+G660+G827),-(G326+G493+'3. General Model Inputs'!$D$53*G660+G827)/G160)</f>
        <v>-3788.8557909604519</v>
      </c>
      <c r="H994" s="30">
        <f>IF(H160&lt;1,-(H326+H493+H660+H827),-(H326+H493+'3. General Model Inputs'!$D$53*H660+H827)/H160)</f>
        <v>-3788.8557909604519</v>
      </c>
    </row>
    <row r="995" spans="2:8">
      <c r="B995" s="152">
        <f t="shared" si="32"/>
        <v>0</v>
      </c>
      <c r="D995" s="30">
        <f>IF(D161&lt;1,-(D327+D494+D661+D828),-(D327+D494+'3. General Model Inputs'!$D$53*D661+D828)/D161)</f>
        <v>0</v>
      </c>
      <c r="E995" s="30">
        <f>IF(E161&lt;1,-(E327+E494+E661+E828),-(E327+E494+'3. General Model Inputs'!$D$53*E661+E828)/E161)</f>
        <v>-3545.4631875</v>
      </c>
      <c r="F995" s="30">
        <f>IF(F161&lt;1,-(F327+F494+F661+F828),-(F327+F494+'3. General Model Inputs'!$D$53*F661+F828)/F161)</f>
        <v>-7135.8056558544304</v>
      </c>
      <c r="G995" s="30">
        <f>IF(G161&lt;1,-(G327+G494+G661+G828),-(G327+G494+'3. General Model Inputs'!$D$53*G661+G828)/G161)</f>
        <v>-7135.8056558544304</v>
      </c>
      <c r="H995" s="30">
        <f>IF(H161&lt;1,-(H327+H494+H661+H828),-(H327+H494+'3. General Model Inputs'!$D$53*H661+H828)/H161)</f>
        <v>-7135.8056558544304</v>
      </c>
    </row>
    <row r="996" spans="2:8">
      <c r="B996" s="152">
        <f t="shared" si="32"/>
        <v>0</v>
      </c>
      <c r="D996" s="30">
        <f>IF(D162&lt;1,-(D328+D495+D662+D829),-(D328+D495+'3. General Model Inputs'!$D$53*D662+D829)/D162)</f>
        <v>0</v>
      </c>
      <c r="E996" s="30">
        <f>IF(E162&lt;1,-(E328+E495+E662+E829),-(E328+E495+'3. General Model Inputs'!$D$53*E662+E829)/E162)</f>
        <v>0</v>
      </c>
      <c r="F996" s="30">
        <f>IF(F162&lt;1,-(F328+F495+F662+F829),-(F328+F495+'3. General Model Inputs'!$D$53*F662+F829)/F162)</f>
        <v>-33223.96875</v>
      </c>
      <c r="G996" s="30">
        <f>IF(G162&lt;1,-(G328+G495+G662+G829),-(G328+G495+'3. General Model Inputs'!$D$53*G662+G829)/G162)</f>
        <v>-66868.494066455693</v>
      </c>
      <c r="H996" s="30">
        <f>IF(H162&lt;1,-(H328+H495+H662+H829),-(H328+H495+'3. General Model Inputs'!$D$53*H662+H829)/H162)</f>
        <v>-66868.494066455707</v>
      </c>
    </row>
    <row r="997" spans="2:8">
      <c r="B997" s="152">
        <f t="shared" si="32"/>
        <v>0</v>
      </c>
      <c r="D997" s="30">
        <f>IF(D163&lt;1,-(D329+D496+D663+D830),-(D329+D496+'3. General Model Inputs'!$D$53*D663+D830)/D163)</f>
        <v>0</v>
      </c>
      <c r="E997" s="30">
        <f>IF(E163&lt;1,-(E329+E496+E663+E830),-(E329+E496+'3. General Model Inputs'!$D$53*E663+E830)/E163)</f>
        <v>0</v>
      </c>
      <c r="F997" s="30">
        <f>IF(F163&lt;1,-(F329+F496+F663+F830),-(F329+F496+'3. General Model Inputs'!$D$53*F663+F830)/F163)</f>
        <v>0</v>
      </c>
      <c r="G997" s="30">
        <f>IF(G163&lt;1,-(G329+G496+G663+G830),-(G329+G496+'3. General Model Inputs'!$D$53*G663+G830)/G163)</f>
        <v>-80035.78125</v>
      </c>
      <c r="H997" s="30">
        <f>IF(H163&lt;1,-(H329+H496+H663+H830),-(H329+H496+'3. General Model Inputs'!$D$53*H663+H830)/H163)</f>
        <v>-161084.67365506329</v>
      </c>
    </row>
    <row r="998" spans="2:8">
      <c r="B998" s="152">
        <f t="shared" si="32"/>
        <v>0</v>
      </c>
      <c r="D998" s="30">
        <f>IF(D164&lt;1,-(D330+D497+D664+D831),-(D330+D497+'3. General Model Inputs'!$D$53*D664+D831)/D164)</f>
        <v>0</v>
      </c>
      <c r="E998" s="30">
        <f>IF(E164&lt;1,-(E330+E497+E664+E831),-(E330+E497+'3. General Model Inputs'!$D$53*E664+E831)/E164)</f>
        <v>-3375</v>
      </c>
      <c r="F998" s="30">
        <f>IF(F164&lt;1,-(F330+F497+F664+F831),-(F330+F497+'3. General Model Inputs'!$D$53*F664+F831)/F164)</f>
        <v>-7125</v>
      </c>
      <c r="G998" s="30">
        <f>IF(G164&lt;1,-(G330+G497+G664+G831),-(G330+G497+'3. General Model Inputs'!$D$53*G664+G831)/G164)</f>
        <v>-7125</v>
      </c>
      <c r="H998" s="30">
        <f>IF(H164&lt;1,-(H330+H497+H664+H831),-(H330+H497+'3. General Model Inputs'!$D$53*H664+H831)/H164)</f>
        <v>-7125</v>
      </c>
    </row>
    <row r="999" spans="2:8">
      <c r="B999" s="152">
        <f t="shared" si="32"/>
        <v>0</v>
      </c>
      <c r="D999" s="30">
        <f>IF(D165&lt;1,-(D331+D498+D665+D832),-(D331+D498+'3. General Model Inputs'!$D$53*D665+D832)/D165)</f>
        <v>0</v>
      </c>
      <c r="E999" s="30">
        <f>IF(E165&lt;1,-(E331+E498+E665+E832),-(E331+E498+'3. General Model Inputs'!$D$53*E665+E832)/E165)</f>
        <v>-9479.15625</v>
      </c>
      <c r="F999" s="30">
        <f>IF(F165&lt;1,-(F331+F498+F665+F832),-(F331+F498+'3. General Model Inputs'!$D$53*F665+F832)/F165)</f>
        <v>-19201.367788461539</v>
      </c>
      <c r="G999" s="30">
        <f>IF(G165&lt;1,-(G331+G498+G665+G832),-(G331+G498+'3. General Model Inputs'!$D$53*G665+G832)/G165)</f>
        <v>-19201.367788461539</v>
      </c>
      <c r="H999" s="30">
        <f>IF(H165&lt;1,-(H331+H498+H665+H832),-(H331+H498+'3. General Model Inputs'!$D$53*H665+H832)/H165)</f>
        <v>-19201.367788461539</v>
      </c>
    </row>
    <row r="1000" spans="2:8">
      <c r="B1000" s="152" t="str">
        <f t="shared" si="32"/>
        <v>Carndo Year 4 Reduction</v>
      </c>
      <c r="D1000" s="30">
        <f>IF(D166&lt;1,-(D332+D499+D666+D833),-(D332+D499+'3. General Model Inputs'!$D$53*D666+D833)/D166)</f>
        <v>0</v>
      </c>
      <c r="E1000" s="30">
        <f>IF(E166&lt;1,-(E332+E499+E666+E833),-(E332+E499+'3. General Model Inputs'!$D$53*E666+E833)/E166)</f>
        <v>0</v>
      </c>
      <c r="F1000" s="30">
        <f>IF(F166&lt;1,-(F332+F499+F666+F833),-(F332+F499+'3. General Model Inputs'!$D$53*F666+F833)/F166)</f>
        <v>0</v>
      </c>
      <c r="G1000" s="30">
        <f>IF(G166&lt;1,-(G332+G499+G666+G833),-(G332+G499+'3. General Model Inputs'!$D$53*G666+G833)/G166)</f>
        <v>123085.49294249454</v>
      </c>
      <c r="H1000" s="30">
        <f>IF(H166&lt;1,-(H332+H499+H666+H833),-(H332+H499+'3. General Model Inputs'!$D$53*H666+H833)/H166)</f>
        <v>250119.91403346058</v>
      </c>
    </row>
    <row r="1001" spans="2:8">
      <c r="B1001" s="152" t="str">
        <f t="shared" si="32"/>
        <v>Carndo Year 5 Reduction</v>
      </c>
      <c r="D1001" s="30">
        <f>IF(D167&lt;1,-(D333+D500+D667+D834),-(D333+D500+'3. General Model Inputs'!$D$53*D667+D834)/D167)</f>
        <v>0</v>
      </c>
      <c r="E1001" s="30">
        <f>IF(E167&lt;1,-(E333+E500+E667+E834),-(E333+E500+'3. General Model Inputs'!$D$53*E667+E834)/E167)</f>
        <v>0</v>
      </c>
      <c r="F1001" s="30">
        <f>IF(F167&lt;1,-(F333+F500+F667+F834),-(F333+F500+'3. General Model Inputs'!$D$53*F667+F834)/F167)</f>
        <v>0</v>
      </c>
      <c r="G1001" s="30">
        <f>IF(G167&lt;1,-(G333+G500+G667+G834),-(G333+G500+'3. General Model Inputs'!$D$53*G667+G834)/G167)</f>
        <v>0</v>
      </c>
      <c r="H1001" s="30">
        <f>IF(H167&lt;1,-(H333+H500+H667+H834),-(H333+H500+'3. General Model Inputs'!$D$53*H667+H834)/H167)</f>
        <v>97076.018868801199</v>
      </c>
    </row>
    <row r="1002" spans="2:8">
      <c r="B1002" s="152">
        <f t="shared" si="32"/>
        <v>0</v>
      </c>
      <c r="D1002" s="30">
        <f>IF(D168&lt;1,-(D334+D501+D668+D835),-(D334+D501+'3. General Model Inputs'!$D$53*D668+D835)/D168)</f>
        <v>0</v>
      </c>
      <c r="E1002" s="30">
        <f>IF(E168&lt;1,-(E334+E501+E668+E835),-(E334+E501+'3. General Model Inputs'!$D$53*E668+E835)/E168)</f>
        <v>0</v>
      </c>
      <c r="F1002" s="30">
        <f>IF(F168&lt;1,-(F334+F501+F668+F835),-(F334+F501+'3. General Model Inputs'!$D$53*F668+F835)/F168)</f>
        <v>0</v>
      </c>
      <c r="G1002" s="30">
        <f>IF(G168&lt;1,-(G334+G501+G668+G835),-(G334+G501+'3. General Model Inputs'!$D$53*G668+G835)/G168)</f>
        <v>0</v>
      </c>
      <c r="H1002" s="30">
        <f>IF(H168&lt;1,-(H334+H501+H668+H835),-(H334+H501+'3. General Model Inputs'!$D$53*H668+H835)/H168)</f>
        <v>0</v>
      </c>
    </row>
    <row r="1003" spans="2:8">
      <c r="B1003" s="152">
        <f t="shared" si="32"/>
        <v>0</v>
      </c>
      <c r="D1003" s="30">
        <f>IF(D169&lt;1,-(D335+D502+D669+D836),-(D335+D502+'3. General Model Inputs'!$D$53*D669+D836)/D169)</f>
        <v>0</v>
      </c>
      <c r="E1003" s="30">
        <f>IF(E169&lt;1,-(E335+E502+E669+E836),-(E335+E502+'3. General Model Inputs'!$D$53*E669+E836)/E169)</f>
        <v>0</v>
      </c>
      <c r="F1003" s="30">
        <f>IF(F169&lt;1,-(F335+F502+F669+F836),-(F335+F502+'3. General Model Inputs'!$D$53*F669+F836)/F169)</f>
        <v>0</v>
      </c>
      <c r="G1003" s="30">
        <f>IF(G169&lt;1,-(G335+G502+G669+G836),-(G335+G502+'3. General Model Inputs'!$D$53*G669+G836)/G169)</f>
        <v>0</v>
      </c>
      <c r="H1003" s="30">
        <f>IF(H169&lt;1,-(H335+H502+H669+H836),-(H335+H502+'3. General Model Inputs'!$D$53*H669+H836)/H169)</f>
        <v>0</v>
      </c>
    </row>
    <row r="1004" spans="2:8">
      <c r="B1004" s="152">
        <f t="shared" si="32"/>
        <v>0</v>
      </c>
      <c r="D1004" s="30">
        <f>IF(D170&lt;1,-(D336+D503+D670+D837),-(D336+D503+'3. General Model Inputs'!$D$53*D670+D837)/D170)</f>
        <v>0</v>
      </c>
      <c r="E1004" s="30">
        <f>IF(E170&lt;1,-(E336+E503+E670+E837),-(E336+E503+'3. General Model Inputs'!$D$53*E670+E837)/E170)</f>
        <v>0</v>
      </c>
      <c r="F1004" s="30">
        <f>IF(F170&lt;1,-(F336+F503+F670+F837),-(F336+F503+'3. General Model Inputs'!$D$53*F670+F837)/F170)</f>
        <v>0</v>
      </c>
      <c r="G1004" s="30">
        <f>IF(G170&lt;1,-(G336+G503+G670+G837),-(G336+G503+'3. General Model Inputs'!$D$53*G670+G837)/G170)</f>
        <v>0</v>
      </c>
      <c r="H1004" s="30">
        <f>IF(H170&lt;1,-(H336+H503+H670+H837),-(H336+H503+'3. General Model Inputs'!$D$53*H670+H837)/H170)</f>
        <v>0</v>
      </c>
    </row>
    <row r="1005" spans="2:8">
      <c r="B1005" s="152">
        <f t="shared" si="32"/>
        <v>0</v>
      </c>
      <c r="D1005" s="30">
        <f>IF(D171&lt;1,-(D337+D504+D671+D838),-(D337+D504+'3. General Model Inputs'!$D$53*D671+D838)/D171)</f>
        <v>0</v>
      </c>
      <c r="E1005" s="30">
        <f>IF(E171&lt;1,-(E337+E504+E671+E838),-(E337+E504+'3. General Model Inputs'!$D$53*E671+E838)/E171)</f>
        <v>0</v>
      </c>
      <c r="F1005" s="30">
        <f>IF(F171&lt;1,-(F337+F504+F671+F838),-(F337+F504+'3. General Model Inputs'!$D$53*F671+F838)/F171)</f>
        <v>0</v>
      </c>
      <c r="G1005" s="30">
        <f>IF(G171&lt;1,-(G337+G504+G671+G838),-(G337+G504+'3. General Model Inputs'!$D$53*G671+G838)/G171)</f>
        <v>0</v>
      </c>
      <c r="H1005" s="30">
        <f>IF(H171&lt;1,-(H337+H504+H671+H838),-(H337+H504+'3. General Model Inputs'!$D$53*H671+H838)/H171)</f>
        <v>0</v>
      </c>
    </row>
    <row r="1006" spans="2:8">
      <c r="B1006" s="152">
        <f t="shared" si="32"/>
        <v>0</v>
      </c>
      <c r="D1006" s="30">
        <f>IF(D172&lt;1,-(D338+D505+D672+D839),-(D338+D505+'3. General Model Inputs'!$D$53*D672+D839)/D172)</f>
        <v>0</v>
      </c>
      <c r="E1006" s="30">
        <f>IF(E172&lt;1,-(E338+E505+E672+E839),-(E338+E505+'3. General Model Inputs'!$D$53*E672+E839)/E172)</f>
        <v>0</v>
      </c>
      <c r="F1006" s="30">
        <f>IF(F172&lt;1,-(F338+F505+F672+F839),-(F338+F505+'3. General Model Inputs'!$D$53*F672+F839)/F172)</f>
        <v>0</v>
      </c>
      <c r="G1006" s="30">
        <f>IF(G172&lt;1,-(G338+G505+G672+G839),-(G338+G505+'3. General Model Inputs'!$D$53*G672+G839)/G172)</f>
        <v>0</v>
      </c>
      <c r="H1006" s="30">
        <f>IF(H172&lt;1,-(H338+H505+H672+H839),-(H338+H505+'3. General Model Inputs'!$D$53*H672+H839)/H172)</f>
        <v>0</v>
      </c>
    </row>
    <row r="1007" spans="2:8">
      <c r="B1007" s="152">
        <f t="shared" si="32"/>
        <v>0</v>
      </c>
      <c r="D1007" s="30">
        <f>IF(D173&lt;1,-(D339+D506+D673+D840),-(D339+D506+'3. General Model Inputs'!$D$53*D673+D840)/D173)</f>
        <v>0</v>
      </c>
      <c r="E1007" s="30">
        <f>IF(E173&lt;1,-(E339+E506+E673+E840),-(E339+E506+'3. General Model Inputs'!$D$53*E673+E840)/E173)</f>
        <v>0</v>
      </c>
      <c r="F1007" s="30">
        <f>IF(F173&lt;1,-(F339+F506+F673+F840),-(F339+F506+'3. General Model Inputs'!$D$53*F673+F840)/F173)</f>
        <v>0</v>
      </c>
      <c r="G1007" s="30">
        <f>IF(G173&lt;1,-(G339+G506+G673+G840),-(G339+G506+'3. General Model Inputs'!$D$53*G673+G840)/G173)</f>
        <v>0</v>
      </c>
      <c r="H1007" s="30">
        <f>IF(H173&lt;1,-(H339+H506+H673+H840),-(H339+H506+'3. General Model Inputs'!$D$53*H673+H840)/H173)</f>
        <v>0</v>
      </c>
    </row>
    <row r="1008" spans="2:8">
      <c r="B1008" s="152">
        <f t="shared" si="32"/>
        <v>0</v>
      </c>
      <c r="D1008" s="30">
        <f>IF(D174&lt;1,-(D340+D507+D674+D841),-(D340+D507+'3. General Model Inputs'!$D$53*D674+D841)/D174)</f>
        <v>0</v>
      </c>
      <c r="E1008" s="30">
        <f>IF(E174&lt;1,-(E340+E507+E674+E841),-(E340+E507+'3. General Model Inputs'!$D$53*E674+E841)/E174)</f>
        <v>0</v>
      </c>
      <c r="F1008" s="30">
        <f>IF(F174&lt;1,-(F340+F507+F674+F841),-(F340+F507+'3. General Model Inputs'!$D$53*F674+F841)/F174)</f>
        <v>0</v>
      </c>
      <c r="G1008" s="30">
        <f>IF(G174&lt;1,-(G340+G507+G674+G841),-(G340+G507+'3. General Model Inputs'!$D$53*G674+G841)/G174)</f>
        <v>0</v>
      </c>
      <c r="H1008" s="30">
        <f>IF(H174&lt;1,-(H340+H507+H674+H841),-(H340+H507+'3. General Model Inputs'!$D$53*H674+H841)/H174)</f>
        <v>0</v>
      </c>
    </row>
    <row r="1009" spans="2:8">
      <c r="B1009" s="152">
        <f t="shared" si="32"/>
        <v>0</v>
      </c>
      <c r="D1009" s="30">
        <f>IF(D175&lt;1,-(D341+D508+D675+D842),-(D341+D508+'3. General Model Inputs'!$D$53*D675+D842)/D175)</f>
        <v>0</v>
      </c>
      <c r="E1009" s="30">
        <f>IF(E175&lt;1,-(E341+E508+E675+E842),-(E341+E508+'3. General Model Inputs'!$D$53*E675+E842)/E175)</f>
        <v>0</v>
      </c>
      <c r="F1009" s="30">
        <f>IF(F175&lt;1,-(F341+F508+F675+F842),-(F341+F508+'3. General Model Inputs'!$D$53*F675+F842)/F175)</f>
        <v>0</v>
      </c>
      <c r="G1009" s="30">
        <f>IF(G175&lt;1,-(G341+G508+G675+G842),-(G341+G508+'3. General Model Inputs'!$D$53*G675+G842)/G175)</f>
        <v>0</v>
      </c>
      <c r="H1009" s="30">
        <f>IF(H175&lt;1,-(H341+H508+H675+H842),-(H341+H508+'3. General Model Inputs'!$D$53*H675+H842)/H175)</f>
        <v>0</v>
      </c>
    </row>
    <row r="1010" spans="2:8">
      <c r="B1010" s="152">
        <f t="shared" si="32"/>
        <v>0</v>
      </c>
      <c r="D1010" s="30">
        <f>IF(D176&lt;1,-(D342+D509+D676+D843),-(D342+D509+'3. General Model Inputs'!$D$53*D676+D843)/D176)</f>
        <v>0</v>
      </c>
      <c r="E1010" s="30">
        <f>IF(E176&lt;1,-(E342+E509+E676+E843),-(E342+E509+'3. General Model Inputs'!$D$53*E676+E843)/E176)</f>
        <v>0</v>
      </c>
      <c r="F1010" s="30">
        <f>IF(F176&lt;1,-(F342+F509+F676+F843),-(F342+F509+'3. General Model Inputs'!$D$53*F676+F843)/F176)</f>
        <v>0</v>
      </c>
      <c r="G1010" s="30">
        <f>IF(G176&lt;1,-(G342+G509+G676+G843),-(G342+G509+'3. General Model Inputs'!$D$53*G676+G843)/G176)</f>
        <v>0</v>
      </c>
      <c r="H1010" s="30">
        <f>IF(H176&lt;1,-(H342+H509+H676+H843),-(H342+H509+'3. General Model Inputs'!$D$53*H676+H843)/H176)</f>
        <v>0</v>
      </c>
    </row>
    <row r="1011" spans="2:8">
      <c r="B1011" s="152">
        <f t="shared" si="32"/>
        <v>0</v>
      </c>
      <c r="D1011" s="30">
        <f>IF(D177&lt;1,-(D343+D510+D677+D844),-(D343+D510+'3. General Model Inputs'!$D$53*D677+D844)/D177)</f>
        <v>0</v>
      </c>
      <c r="E1011" s="30">
        <f>IF(E177&lt;1,-(E343+E510+E677+E844),-(E343+E510+'3. General Model Inputs'!$D$53*E677+E844)/E177)</f>
        <v>0</v>
      </c>
      <c r="F1011" s="30">
        <f>IF(F177&lt;1,-(F343+F510+F677+F844),-(F343+F510+'3. General Model Inputs'!$D$53*F677+F844)/F177)</f>
        <v>0</v>
      </c>
      <c r="G1011" s="30">
        <f>IF(G177&lt;1,-(G343+G510+G677+G844),-(G343+G510+'3. General Model Inputs'!$D$53*G677+G844)/G177)</f>
        <v>0</v>
      </c>
      <c r="H1011" s="30">
        <f>IF(H177&lt;1,-(H343+H510+H677+H844),-(H343+H510+'3. General Model Inputs'!$D$53*H677+H844)/H177)</f>
        <v>0</v>
      </c>
    </row>
    <row r="1012" spans="2:8">
      <c r="B1012" s="152">
        <f t="shared" si="32"/>
        <v>0</v>
      </c>
      <c r="D1012" s="30">
        <f>IF(D178&lt;1,-(D344+D511+D678+D845),-(D344+D511+'3. General Model Inputs'!$D$53*D678+D845)/D178)</f>
        <v>0</v>
      </c>
      <c r="E1012" s="30">
        <f>IF(E178&lt;1,-(E344+E511+E678+E845),-(E344+E511+'3. General Model Inputs'!$D$53*E678+E845)/E178)</f>
        <v>0</v>
      </c>
      <c r="F1012" s="30">
        <f>IF(F178&lt;1,-(F344+F511+F678+F845),-(F344+F511+'3. General Model Inputs'!$D$53*F678+F845)/F178)</f>
        <v>0</v>
      </c>
      <c r="G1012" s="30">
        <f>IF(G178&lt;1,-(G344+G511+G678+G845),-(G344+G511+'3. General Model Inputs'!$D$53*G678+G845)/G178)</f>
        <v>0</v>
      </c>
      <c r="H1012" s="30">
        <f>IF(H178&lt;1,-(H344+H511+H678+H845),-(H344+H511+'3. General Model Inputs'!$D$53*H678+H845)/H178)</f>
        <v>0</v>
      </c>
    </row>
    <row r="1013" spans="2:8">
      <c r="B1013" s="152">
        <f t="shared" si="32"/>
        <v>0</v>
      </c>
      <c r="D1013" s="30">
        <f>IF(D179&lt;1,-(D345+D512+D679+D846),-(D345+D512+'3. General Model Inputs'!$D$53*D679+D846)/D179)</f>
        <v>0</v>
      </c>
      <c r="E1013" s="30">
        <f>IF(E179&lt;1,-(E345+E512+E679+E846),-(E345+E512+'3. General Model Inputs'!$D$53*E679+E846)/E179)</f>
        <v>0</v>
      </c>
      <c r="F1013" s="30">
        <f>IF(F179&lt;1,-(F345+F512+F679+F846),-(F345+F512+'3. General Model Inputs'!$D$53*F679+F846)/F179)</f>
        <v>0</v>
      </c>
      <c r="G1013" s="30">
        <f>IF(G179&lt;1,-(G345+G512+G679+G846),-(G345+G512+'3. General Model Inputs'!$D$53*G679+G846)/G179)</f>
        <v>0</v>
      </c>
      <c r="H1013" s="30">
        <f>IF(H179&lt;1,-(H345+H512+H679+H846),-(H345+H512+'3. General Model Inputs'!$D$53*H679+H846)/H179)</f>
        <v>0</v>
      </c>
    </row>
    <row r="1014" spans="2:8">
      <c r="B1014" s="152">
        <f t="shared" si="32"/>
        <v>0</v>
      </c>
      <c r="D1014" s="30">
        <f>IF(D180&lt;1,-(D346+D513+D680+D847),-(D346+D513+'3. General Model Inputs'!$D$53*D680+D847)/D180)</f>
        <v>0</v>
      </c>
      <c r="E1014" s="30">
        <f>IF(E180&lt;1,-(E346+E513+E680+E847),-(E346+E513+'3. General Model Inputs'!$D$53*E680+E847)/E180)</f>
        <v>0</v>
      </c>
      <c r="F1014" s="30">
        <f>IF(F180&lt;1,-(F346+F513+F680+F847),-(F346+F513+'3. General Model Inputs'!$D$53*F680+F847)/F180)</f>
        <v>0</v>
      </c>
      <c r="G1014" s="30">
        <f>IF(G180&lt;1,-(G346+G513+G680+G847),-(G346+G513+'3. General Model Inputs'!$D$53*G680+G847)/G180)</f>
        <v>0</v>
      </c>
      <c r="H1014" s="30">
        <f>IF(H180&lt;1,-(H346+H513+H680+H847),-(H346+H513+'3. General Model Inputs'!$D$53*H680+H847)/H180)</f>
        <v>0</v>
      </c>
    </row>
    <row r="1015" spans="2:8">
      <c r="B1015" s="152">
        <f t="shared" si="32"/>
        <v>0</v>
      </c>
      <c r="D1015" s="30">
        <f>IF(D181&lt;1,-(D347+D514+D681+D848),-(D347+D514+'3. General Model Inputs'!$D$53*D681+D848)/D181)</f>
        <v>0</v>
      </c>
      <c r="E1015" s="30">
        <f>IF(E181&lt;1,-(E347+E514+E681+E848),-(E347+E514+'3. General Model Inputs'!$D$53*E681+E848)/E181)</f>
        <v>0</v>
      </c>
      <c r="F1015" s="30">
        <f>IF(F181&lt;1,-(F347+F514+F681+F848),-(F347+F514+'3. General Model Inputs'!$D$53*F681+F848)/F181)</f>
        <v>0</v>
      </c>
      <c r="G1015" s="30">
        <f>IF(G181&lt;1,-(G347+G514+G681+G848),-(G347+G514+'3. General Model Inputs'!$D$53*G681+G848)/G181)</f>
        <v>0</v>
      </c>
      <c r="H1015" s="30">
        <f>IF(H181&lt;1,-(H347+H514+H681+H848),-(H347+H514+'3. General Model Inputs'!$D$53*H681+H848)/H181)</f>
        <v>0</v>
      </c>
    </row>
    <row r="1016" spans="2:8">
      <c r="B1016" s="152">
        <f t="shared" si="32"/>
        <v>0</v>
      </c>
      <c r="D1016" s="30">
        <f>IF(D182&lt;1,-(D348+D515+D682+D849),-(D348+D515+'3. General Model Inputs'!$D$53*D682+D849)/D182)</f>
        <v>0</v>
      </c>
      <c r="E1016" s="30">
        <f>IF(E182&lt;1,-(E348+E515+E682+E849),-(E348+E515+'3. General Model Inputs'!$D$53*E682+E849)/E182)</f>
        <v>0</v>
      </c>
      <c r="F1016" s="30">
        <f>IF(F182&lt;1,-(F348+F515+F682+F849),-(F348+F515+'3. General Model Inputs'!$D$53*F682+F849)/F182)</f>
        <v>0</v>
      </c>
      <c r="G1016" s="30">
        <f>IF(G182&lt;1,-(G348+G515+G682+G849),-(G348+G515+'3. General Model Inputs'!$D$53*G682+G849)/G182)</f>
        <v>0</v>
      </c>
      <c r="H1016" s="30">
        <f>IF(H182&lt;1,-(H348+H515+H682+H849),-(H348+H515+'3. General Model Inputs'!$D$53*H682+H849)/H182)</f>
        <v>0</v>
      </c>
    </row>
    <row r="1017" spans="2:8">
      <c r="B1017" s="152">
        <f t="shared" si="32"/>
        <v>0</v>
      </c>
      <c r="D1017" s="30">
        <f>IF(D183&lt;1,-(D349+D516+D683+D850),-(D349+D516+'3. General Model Inputs'!$D$53*D683+D850)/D183)</f>
        <v>0</v>
      </c>
      <c r="E1017" s="30">
        <f>IF(E183&lt;1,-(E349+E516+E683+E850),-(E349+E516+'3. General Model Inputs'!$D$53*E683+E850)/E183)</f>
        <v>0</v>
      </c>
      <c r="F1017" s="30">
        <f>IF(F183&lt;1,-(F349+F516+F683+F850),-(F349+F516+'3. General Model Inputs'!$D$53*F683+F850)/F183)</f>
        <v>0</v>
      </c>
      <c r="G1017" s="30">
        <f>IF(G183&lt;1,-(G349+G516+G683+G850),-(G349+G516+'3. General Model Inputs'!$D$53*G683+G850)/G183)</f>
        <v>0</v>
      </c>
      <c r="H1017" s="30">
        <f>IF(H183&lt;1,-(H349+H516+H683+H850),-(H349+H516+'3. General Model Inputs'!$D$53*H683+H850)/H183)</f>
        <v>0</v>
      </c>
    </row>
    <row r="1018" spans="2:8">
      <c r="B1018" s="152">
        <f>B851</f>
        <v>0</v>
      </c>
      <c r="D1018" s="30">
        <f>IF(D184&lt;1,-(D350+D517+D684+D851),-(D350+D517+'3. General Model Inputs'!$D$53*D684+D851)/D184)</f>
        <v>0</v>
      </c>
      <c r="E1018" s="30">
        <f>IF(E184&lt;1,-(E350+E517+E684+E851),-(E350+E517+'3. General Model Inputs'!$D$53*E684+E851)/E184)</f>
        <v>0</v>
      </c>
      <c r="F1018" s="30">
        <f>IF(F184&lt;1,-(F350+F517+F684+F851),-(F350+F517+'3. General Model Inputs'!$D$53*F684+F851)/F184)</f>
        <v>0</v>
      </c>
      <c r="G1018" s="30">
        <f>IF(G184&lt;1,-(G350+G517+G684+G851),-(G350+G517+'3. General Model Inputs'!$D$53*G684+G851)/G184)</f>
        <v>0</v>
      </c>
      <c r="H1018" s="30">
        <f>IF(H184&lt;1,-(H350+H517+H684+H851),-(H350+H517+'3. General Model Inputs'!$D$53*H684+H851)/H184)</f>
        <v>0</v>
      </c>
    </row>
    <row r="1019" spans="2:8">
      <c r="B1019" s="152" t="s">
        <v>54</v>
      </c>
      <c r="D1019" s="48">
        <f>SUM(D855:D1018)</f>
        <v>-326378.08068750001</v>
      </c>
      <c r="E1019" s="48">
        <f>SUM(E855:E1018)</f>
        <v>-2359165.8891132209</v>
      </c>
      <c r="F1019" s="48">
        <f>SUM(F855:F1018)</f>
        <v>-2980516.4226932456</v>
      </c>
      <c r="G1019" s="48">
        <f>SUM(G855:G1018)</f>
        <v>-5603224.9650979787</v>
      </c>
      <c r="H1019" s="48">
        <f>SUM(H855:H1018)</f>
        <v>-8461588.5615019053</v>
      </c>
    </row>
    <row r="1020" spans="2:8">
      <c r="B1020" s="152"/>
      <c r="D1020" s="30"/>
      <c r="E1020" s="30"/>
      <c r="F1020" s="30"/>
      <c r="G1020" s="30"/>
      <c r="H1020" s="30"/>
    </row>
    <row r="1021" spans="2:8" ht="15.75">
      <c r="B1021" s="151" t="s">
        <v>14</v>
      </c>
      <c r="D1021" s="30"/>
      <c r="E1021" s="30"/>
      <c r="F1021" s="30"/>
      <c r="G1021" s="30"/>
      <c r="H1021" s="30"/>
    </row>
    <row r="1022" spans="2:8">
      <c r="B1022" s="152">
        <f>B855</f>
        <v>0</v>
      </c>
      <c r="D1022" s="30">
        <f t="shared" ref="D1022:H1023" si="33">D187+D354+D688+D855+D521</f>
        <v>164161.75445833331</v>
      </c>
      <c r="E1022" s="30">
        <f t="shared" si="33"/>
        <v>161379.35184039545</v>
      </c>
      <c r="F1022" s="30">
        <f t="shared" si="33"/>
        <v>158596.9492224576</v>
      </c>
      <c r="G1022" s="30">
        <f t="shared" si="33"/>
        <v>155814.54660451974</v>
      </c>
      <c r="H1022" s="30">
        <f t="shared" si="33"/>
        <v>153032.14398658188</v>
      </c>
    </row>
    <row r="1023" spans="2:8">
      <c r="B1023" s="152">
        <f>B856</f>
        <v>0</v>
      </c>
      <c r="D1023" s="30">
        <f t="shared" si="33"/>
        <v>0</v>
      </c>
      <c r="E1023" s="30">
        <f t="shared" si="33"/>
        <v>504744.12770833331</v>
      </c>
      <c r="F1023" s="30">
        <f t="shared" si="33"/>
        <v>496189.14249293786</v>
      </c>
      <c r="G1023" s="30">
        <f t="shared" si="33"/>
        <v>487634.1572775424</v>
      </c>
      <c r="H1023" s="30">
        <f t="shared" si="33"/>
        <v>479079.17206214694</v>
      </c>
    </row>
    <row r="1024" spans="2:8">
      <c r="B1024" s="152">
        <f t="shared" ref="B1024:B1087" si="34">B857</f>
        <v>0</v>
      </c>
      <c r="D1024" s="30">
        <f t="shared" ref="D1024:H1039" si="35">D189+D356+D690+D857+D523</f>
        <v>0</v>
      </c>
      <c r="E1024" s="30">
        <f t="shared" si="35"/>
        <v>0</v>
      </c>
      <c r="F1024" s="30">
        <f t="shared" si="35"/>
        <v>104554.8875</v>
      </c>
      <c r="G1024" s="30">
        <f t="shared" si="35"/>
        <v>102782.77076271187</v>
      </c>
      <c r="H1024" s="30">
        <f t="shared" si="35"/>
        <v>101010.65402542373</v>
      </c>
    </row>
    <row r="1025" spans="2:8">
      <c r="B1025" s="152">
        <f t="shared" si="34"/>
        <v>0</v>
      </c>
      <c r="D1025" s="30">
        <f t="shared" si="35"/>
        <v>95038.35533333334</v>
      </c>
      <c r="E1025" s="30">
        <f t="shared" si="35"/>
        <v>88249.901380952389</v>
      </c>
      <c r="F1025" s="30">
        <f t="shared" si="35"/>
        <v>81461.447428571439</v>
      </c>
      <c r="G1025" s="30">
        <f t="shared" si="35"/>
        <v>74672.993476190488</v>
      </c>
      <c r="H1025" s="30">
        <f t="shared" si="35"/>
        <v>67884.539523809537</v>
      </c>
    </row>
    <row r="1026" spans="2:8">
      <c r="B1026" s="152">
        <f t="shared" si="34"/>
        <v>0</v>
      </c>
      <c r="D1026" s="30">
        <f t="shared" si="35"/>
        <v>0</v>
      </c>
      <c r="E1026" s="30">
        <f t="shared" si="35"/>
        <v>4088.1251666666667</v>
      </c>
      <c r="F1026" s="30">
        <f t="shared" si="35"/>
        <v>3796.116226190476</v>
      </c>
      <c r="G1026" s="30">
        <f t="shared" si="35"/>
        <v>3504.1072857142854</v>
      </c>
      <c r="H1026" s="30">
        <f t="shared" si="35"/>
        <v>3212.0983452380951</v>
      </c>
    </row>
    <row r="1027" spans="2:8">
      <c r="B1027" s="152">
        <f t="shared" si="34"/>
        <v>0</v>
      </c>
      <c r="D1027" s="30">
        <f t="shared" si="35"/>
        <v>270899.73166666669</v>
      </c>
      <c r="E1027" s="30">
        <f t="shared" si="35"/>
        <v>266308.21079096047</v>
      </c>
      <c r="F1027" s="30">
        <f t="shared" si="35"/>
        <v>261716.68991525425</v>
      </c>
      <c r="G1027" s="30">
        <f t="shared" si="35"/>
        <v>257125.16903954803</v>
      </c>
      <c r="H1027" s="30">
        <f t="shared" si="35"/>
        <v>252533.6481638418</v>
      </c>
    </row>
    <row r="1028" spans="2:8">
      <c r="B1028" s="152">
        <f t="shared" si="34"/>
        <v>0</v>
      </c>
      <c r="D1028" s="30">
        <f t="shared" si="35"/>
        <v>0</v>
      </c>
      <c r="E1028" s="30">
        <f t="shared" si="35"/>
        <v>1820852.2142222223</v>
      </c>
      <c r="F1028" s="30">
        <f t="shared" si="35"/>
        <v>1789990.3122862524</v>
      </c>
      <c r="G1028" s="30">
        <f t="shared" si="35"/>
        <v>1759128.4103502824</v>
      </c>
      <c r="H1028" s="30">
        <f t="shared" si="35"/>
        <v>1728266.5084143125</v>
      </c>
    </row>
    <row r="1029" spans="2:8">
      <c r="B1029" s="152">
        <f t="shared" si="34"/>
        <v>0</v>
      </c>
      <c r="D1029" s="30">
        <f t="shared" si="35"/>
        <v>0</v>
      </c>
      <c r="E1029" s="30">
        <f t="shared" si="35"/>
        <v>0</v>
      </c>
      <c r="F1029" s="30">
        <f t="shared" si="35"/>
        <v>4313750</v>
      </c>
      <c r="G1029" s="30">
        <f t="shared" si="35"/>
        <v>4240635.5932203392</v>
      </c>
      <c r="H1029" s="30">
        <f t="shared" si="35"/>
        <v>4167521.1864406783</v>
      </c>
    </row>
    <row r="1030" spans="2:8">
      <c r="B1030" s="152">
        <f t="shared" si="34"/>
        <v>0</v>
      </c>
      <c r="D1030" s="30">
        <f t="shared" si="35"/>
        <v>2282917.3849999998</v>
      </c>
      <c r="E1030" s="30">
        <f t="shared" si="35"/>
        <v>2204196.0958620687</v>
      </c>
      <c r="F1030" s="30">
        <f t="shared" si="35"/>
        <v>2125474.8067241376</v>
      </c>
      <c r="G1030" s="30">
        <f t="shared" si="35"/>
        <v>2046753.5175862066</v>
      </c>
      <c r="H1030" s="30">
        <f t="shared" si="35"/>
        <v>1968032.2284482755</v>
      </c>
    </row>
    <row r="1031" spans="2:8">
      <c r="B1031" s="152">
        <f t="shared" si="34"/>
        <v>0</v>
      </c>
      <c r="D1031" s="30">
        <f t="shared" si="35"/>
        <v>0</v>
      </c>
      <c r="E1031" s="30">
        <f t="shared" si="35"/>
        <v>2248983.4169999999</v>
      </c>
      <c r="F1031" s="30">
        <f t="shared" si="35"/>
        <v>2171432.264689655</v>
      </c>
      <c r="G1031" s="30">
        <f t="shared" si="35"/>
        <v>2093881.1123793102</v>
      </c>
      <c r="H1031" s="30">
        <f t="shared" si="35"/>
        <v>2016329.9600689653</v>
      </c>
    </row>
    <row r="1032" spans="2:8">
      <c r="B1032" s="152">
        <f t="shared" si="34"/>
        <v>0</v>
      </c>
      <c r="D1032" s="30">
        <f t="shared" si="35"/>
        <v>0</v>
      </c>
      <c r="E1032" s="30">
        <f t="shared" si="35"/>
        <v>0</v>
      </c>
      <c r="F1032" s="30">
        <f t="shared" si="35"/>
        <v>5109733.3499999996</v>
      </c>
      <c r="G1032" s="30">
        <f t="shared" si="35"/>
        <v>4933535.6482758615</v>
      </c>
      <c r="H1032" s="30">
        <f t="shared" si="35"/>
        <v>4757337.9465517234</v>
      </c>
    </row>
    <row r="1033" spans="2:8">
      <c r="B1033" s="152">
        <f t="shared" si="34"/>
        <v>0</v>
      </c>
      <c r="D1033" s="30">
        <f t="shared" si="35"/>
        <v>0</v>
      </c>
      <c r="E1033" s="30">
        <f t="shared" si="35"/>
        <v>0</v>
      </c>
      <c r="F1033" s="30">
        <f t="shared" si="35"/>
        <v>0</v>
      </c>
      <c r="G1033" s="30">
        <f t="shared" si="35"/>
        <v>38993504.149999999</v>
      </c>
      <c r="H1033" s="30">
        <f t="shared" si="35"/>
        <v>37648900.558620691</v>
      </c>
    </row>
    <row r="1034" spans="2:8">
      <c r="B1034" s="152">
        <f t="shared" si="34"/>
        <v>0</v>
      </c>
      <c r="D1034" s="30">
        <f t="shared" si="35"/>
        <v>0</v>
      </c>
      <c r="E1034" s="30">
        <f t="shared" si="35"/>
        <v>0</v>
      </c>
      <c r="F1034" s="30">
        <f t="shared" si="35"/>
        <v>0</v>
      </c>
      <c r="G1034" s="30">
        <f t="shared" si="35"/>
        <v>0</v>
      </c>
      <c r="H1034" s="30">
        <f t="shared" si="35"/>
        <v>13716877.550000001</v>
      </c>
    </row>
    <row r="1035" spans="2:8">
      <c r="B1035" s="152">
        <f t="shared" si="34"/>
        <v>0</v>
      </c>
      <c r="D1035" s="30">
        <f t="shared" si="35"/>
        <v>0</v>
      </c>
      <c r="E1035" s="30">
        <f t="shared" si="35"/>
        <v>9553468.8000000007</v>
      </c>
      <c r="F1035" s="30">
        <f t="shared" si="35"/>
        <v>9224038.8413793109</v>
      </c>
      <c r="G1035" s="30">
        <f t="shared" si="35"/>
        <v>8894608.8827586211</v>
      </c>
      <c r="H1035" s="30">
        <f t="shared" si="35"/>
        <v>8565178.9241379313</v>
      </c>
    </row>
    <row r="1036" spans="2:8">
      <c r="B1036" s="152">
        <f t="shared" si="34"/>
        <v>0</v>
      </c>
      <c r="D1036" s="30">
        <f t="shared" si="35"/>
        <v>0</v>
      </c>
      <c r="E1036" s="30">
        <f t="shared" si="35"/>
        <v>0</v>
      </c>
      <c r="F1036" s="30">
        <f t="shared" si="35"/>
        <v>8910545.8000000007</v>
      </c>
      <c r="G1036" s="30">
        <f t="shared" si="35"/>
        <v>8603285.6000000015</v>
      </c>
      <c r="H1036" s="30">
        <f t="shared" si="35"/>
        <v>8296025.4000000013</v>
      </c>
    </row>
    <row r="1037" spans="2:8">
      <c r="B1037" s="152">
        <f t="shared" si="34"/>
        <v>0</v>
      </c>
      <c r="D1037" s="30">
        <f t="shared" si="35"/>
        <v>0</v>
      </c>
      <c r="E1037" s="30">
        <f t="shared" si="35"/>
        <v>0</v>
      </c>
      <c r="F1037" s="30">
        <f t="shared" si="35"/>
        <v>0</v>
      </c>
      <c r="G1037" s="30">
        <f t="shared" si="35"/>
        <v>9161217.1333333328</v>
      </c>
      <c r="H1037" s="30">
        <f t="shared" si="35"/>
        <v>8845313.0942528732</v>
      </c>
    </row>
    <row r="1038" spans="2:8">
      <c r="B1038" s="152">
        <f t="shared" si="34"/>
        <v>0</v>
      </c>
      <c r="D1038" s="30">
        <f t="shared" si="35"/>
        <v>0</v>
      </c>
      <c r="E1038" s="30">
        <f t="shared" si="35"/>
        <v>0</v>
      </c>
      <c r="F1038" s="30">
        <f t="shared" si="35"/>
        <v>0</v>
      </c>
      <c r="G1038" s="30">
        <f t="shared" si="35"/>
        <v>0</v>
      </c>
      <c r="H1038" s="30">
        <f t="shared" si="35"/>
        <v>9428182.3000000007</v>
      </c>
    </row>
    <row r="1039" spans="2:8">
      <c r="B1039" s="152">
        <f t="shared" si="34"/>
        <v>0</v>
      </c>
      <c r="D1039" s="30">
        <f t="shared" si="35"/>
        <v>0</v>
      </c>
      <c r="E1039" s="30">
        <f t="shared" si="35"/>
        <v>272305.61407499999</v>
      </c>
      <c r="F1039" s="30">
        <f t="shared" si="35"/>
        <v>268858.70756772149</v>
      </c>
      <c r="G1039" s="30">
        <f t="shared" si="35"/>
        <v>265411.80106044299</v>
      </c>
      <c r="H1039" s="30">
        <f t="shared" si="35"/>
        <v>261964.89455316451</v>
      </c>
    </row>
    <row r="1040" spans="2:8">
      <c r="B1040" s="152">
        <f t="shared" si="34"/>
        <v>0</v>
      </c>
      <c r="D1040" s="30">
        <f t="shared" ref="D1040:H1055" si="36">D205+D372+D706+D873+D539</f>
        <v>0</v>
      </c>
      <c r="E1040" s="30">
        <f t="shared" si="36"/>
        <v>0</v>
      </c>
      <c r="F1040" s="30">
        <f t="shared" si="36"/>
        <v>8180979.2999999998</v>
      </c>
      <c r="G1040" s="30">
        <f t="shared" si="36"/>
        <v>8077422.5999999996</v>
      </c>
      <c r="H1040" s="30">
        <f t="shared" si="36"/>
        <v>7973865.8999999994</v>
      </c>
    </row>
    <row r="1041" spans="2:8">
      <c r="B1041" s="152">
        <f t="shared" si="34"/>
        <v>0</v>
      </c>
      <c r="D1041" s="30">
        <f t="shared" si="36"/>
        <v>0</v>
      </c>
      <c r="E1041" s="30">
        <f t="shared" si="36"/>
        <v>0</v>
      </c>
      <c r="F1041" s="30">
        <f t="shared" si="36"/>
        <v>0</v>
      </c>
      <c r="G1041" s="30">
        <f t="shared" si="36"/>
        <v>11593833.80625</v>
      </c>
      <c r="H1041" s="30">
        <f t="shared" si="36"/>
        <v>11447076.416297469</v>
      </c>
    </row>
    <row r="1042" spans="2:8">
      <c r="B1042" s="152">
        <f t="shared" si="34"/>
        <v>0</v>
      </c>
      <c r="D1042" s="30">
        <f t="shared" si="36"/>
        <v>0</v>
      </c>
      <c r="E1042" s="30">
        <f t="shared" si="36"/>
        <v>0</v>
      </c>
      <c r="F1042" s="30">
        <f t="shared" si="36"/>
        <v>0</v>
      </c>
      <c r="G1042" s="30">
        <f t="shared" si="36"/>
        <v>0</v>
      </c>
      <c r="H1042" s="30">
        <f t="shared" si="36"/>
        <v>4109487.1687500002</v>
      </c>
    </row>
    <row r="1043" spans="2:8">
      <c r="B1043" s="152">
        <f t="shared" si="34"/>
        <v>0</v>
      </c>
      <c r="D1043" s="30">
        <f t="shared" si="36"/>
        <v>0</v>
      </c>
      <c r="E1043" s="30">
        <f t="shared" si="36"/>
        <v>4228333.333333333</v>
      </c>
      <c r="F1043" s="30">
        <f t="shared" si="36"/>
        <v>4082528.7356321835</v>
      </c>
      <c r="G1043" s="30">
        <f t="shared" si="36"/>
        <v>3936724.137931034</v>
      </c>
      <c r="H1043" s="30">
        <f t="shared" si="36"/>
        <v>3790919.5402298844</v>
      </c>
    </row>
    <row r="1044" spans="2:8">
      <c r="B1044" s="152">
        <f t="shared" si="34"/>
        <v>0</v>
      </c>
      <c r="D1044" s="30">
        <f t="shared" si="36"/>
        <v>0</v>
      </c>
      <c r="E1044" s="30">
        <f t="shared" si="36"/>
        <v>0</v>
      </c>
      <c r="F1044" s="30">
        <f t="shared" si="36"/>
        <v>17896666.666666668</v>
      </c>
      <c r="G1044" s="30">
        <f t="shared" si="36"/>
        <v>17279540.22988506</v>
      </c>
      <c r="H1044" s="30">
        <f t="shared" si="36"/>
        <v>16662413.793103451</v>
      </c>
    </row>
    <row r="1045" spans="2:8">
      <c r="B1045" s="152">
        <f t="shared" si="34"/>
        <v>0</v>
      </c>
      <c r="D1045" s="30">
        <f t="shared" si="36"/>
        <v>0</v>
      </c>
      <c r="E1045" s="30">
        <f t="shared" si="36"/>
        <v>0</v>
      </c>
      <c r="F1045" s="30">
        <f t="shared" si="36"/>
        <v>531123.9</v>
      </c>
      <c r="G1045" s="30">
        <f t="shared" si="36"/>
        <v>512809.28275862068</v>
      </c>
      <c r="H1045" s="30">
        <f t="shared" si="36"/>
        <v>494494.66551724134</v>
      </c>
    </row>
    <row r="1046" spans="2:8">
      <c r="B1046" s="152">
        <f t="shared" si="34"/>
        <v>0</v>
      </c>
      <c r="D1046" s="30">
        <f t="shared" si="36"/>
        <v>0</v>
      </c>
      <c r="E1046" s="30">
        <f t="shared" si="36"/>
        <v>0</v>
      </c>
      <c r="F1046" s="30">
        <f t="shared" si="36"/>
        <v>0</v>
      </c>
      <c r="G1046" s="30">
        <f t="shared" si="36"/>
        <v>7662486.3499999996</v>
      </c>
      <c r="H1046" s="30">
        <f t="shared" si="36"/>
        <v>7398262.68275862</v>
      </c>
    </row>
    <row r="1047" spans="2:8">
      <c r="B1047" s="152">
        <f t="shared" si="34"/>
        <v>0</v>
      </c>
      <c r="D1047" s="30">
        <f t="shared" si="36"/>
        <v>0</v>
      </c>
      <c r="E1047" s="30">
        <f t="shared" si="36"/>
        <v>0</v>
      </c>
      <c r="F1047" s="30">
        <f t="shared" si="36"/>
        <v>0</v>
      </c>
      <c r="G1047" s="30">
        <f t="shared" si="36"/>
        <v>0</v>
      </c>
      <c r="H1047" s="30">
        <f t="shared" si="36"/>
        <v>11239569.816666666</v>
      </c>
    </row>
    <row r="1048" spans="2:8">
      <c r="B1048" s="152">
        <f t="shared" si="34"/>
        <v>0</v>
      </c>
      <c r="D1048" s="30">
        <f t="shared" si="36"/>
        <v>0</v>
      </c>
      <c r="E1048" s="30">
        <f t="shared" si="36"/>
        <v>0</v>
      </c>
      <c r="F1048" s="30">
        <f t="shared" si="36"/>
        <v>1017601.65</v>
      </c>
      <c r="G1048" s="30">
        <f t="shared" si="36"/>
        <v>964043.66842105263</v>
      </c>
      <c r="H1048" s="30">
        <f t="shared" si="36"/>
        <v>910485.68684210523</v>
      </c>
    </row>
    <row r="1049" spans="2:8">
      <c r="B1049" s="152">
        <f t="shared" si="34"/>
        <v>0</v>
      </c>
      <c r="D1049" s="30">
        <f t="shared" si="36"/>
        <v>0</v>
      </c>
      <c r="E1049" s="30">
        <f t="shared" si="36"/>
        <v>0</v>
      </c>
      <c r="F1049" s="30">
        <f t="shared" si="36"/>
        <v>0</v>
      </c>
      <c r="G1049" s="30">
        <f t="shared" si="36"/>
        <v>5220426.9000000004</v>
      </c>
      <c r="H1049" s="30">
        <f t="shared" si="36"/>
        <v>4945667.5894736843</v>
      </c>
    </row>
    <row r="1050" spans="2:8">
      <c r="B1050" s="152">
        <f t="shared" si="34"/>
        <v>0</v>
      </c>
      <c r="D1050" s="30">
        <f t="shared" si="36"/>
        <v>0</v>
      </c>
      <c r="E1050" s="30">
        <f t="shared" si="36"/>
        <v>0</v>
      </c>
      <c r="F1050" s="30">
        <f t="shared" si="36"/>
        <v>0</v>
      </c>
      <c r="G1050" s="30">
        <f t="shared" si="36"/>
        <v>0</v>
      </c>
      <c r="H1050" s="30">
        <f t="shared" si="36"/>
        <v>10532460.9</v>
      </c>
    </row>
    <row r="1051" spans="2:8">
      <c r="B1051" s="152">
        <f t="shared" si="34"/>
        <v>0</v>
      </c>
      <c r="D1051" s="30">
        <f t="shared" si="36"/>
        <v>0</v>
      </c>
      <c r="E1051" s="30">
        <f t="shared" si="36"/>
        <v>0</v>
      </c>
      <c r="F1051" s="30">
        <f t="shared" si="36"/>
        <v>2052597.6576156763</v>
      </c>
      <c r="G1051" s="30">
        <f t="shared" si="36"/>
        <v>1981818.4280427219</v>
      </c>
      <c r="H1051" s="30">
        <f t="shared" si="36"/>
        <v>1911039.1984697676</v>
      </c>
    </row>
    <row r="1052" spans="2:8">
      <c r="B1052" s="152">
        <f t="shared" si="34"/>
        <v>0</v>
      </c>
      <c r="D1052" s="30">
        <f t="shared" si="36"/>
        <v>0</v>
      </c>
      <c r="E1052" s="30">
        <f t="shared" si="36"/>
        <v>0</v>
      </c>
      <c r="F1052" s="30">
        <f t="shared" si="36"/>
        <v>0</v>
      </c>
      <c r="G1052" s="30">
        <f t="shared" si="36"/>
        <v>5265045.6142927008</v>
      </c>
      <c r="H1052" s="30">
        <f t="shared" si="36"/>
        <v>5083492.3172481246</v>
      </c>
    </row>
    <row r="1053" spans="2:8">
      <c r="B1053" s="152">
        <f t="shared" si="34"/>
        <v>0</v>
      </c>
      <c r="D1053" s="30">
        <f t="shared" si="36"/>
        <v>0</v>
      </c>
      <c r="E1053" s="30">
        <f t="shared" si="36"/>
        <v>0</v>
      </c>
      <c r="F1053" s="30">
        <f t="shared" si="36"/>
        <v>0</v>
      </c>
      <c r="G1053" s="30">
        <f t="shared" si="36"/>
        <v>0</v>
      </c>
      <c r="H1053" s="30">
        <f t="shared" si="36"/>
        <v>9516876.6276236232</v>
      </c>
    </row>
    <row r="1054" spans="2:8">
      <c r="B1054" s="152">
        <f t="shared" si="34"/>
        <v>0</v>
      </c>
      <c r="D1054" s="30">
        <f t="shared" si="36"/>
        <v>0</v>
      </c>
      <c r="E1054" s="30">
        <f t="shared" si="36"/>
        <v>0</v>
      </c>
      <c r="F1054" s="30">
        <f t="shared" si="36"/>
        <v>1073500.425</v>
      </c>
      <c r="G1054" s="30">
        <f t="shared" si="36"/>
        <v>1059911.8120253165</v>
      </c>
      <c r="H1054" s="30">
        <f t="shared" si="36"/>
        <v>1046323.199050633</v>
      </c>
    </row>
    <row r="1055" spans="2:8">
      <c r="B1055" s="152">
        <f t="shared" si="34"/>
        <v>0</v>
      </c>
      <c r="D1055" s="30">
        <f t="shared" si="36"/>
        <v>0</v>
      </c>
      <c r="E1055" s="30">
        <f t="shared" si="36"/>
        <v>0</v>
      </c>
      <c r="F1055" s="30">
        <f t="shared" si="36"/>
        <v>0</v>
      </c>
      <c r="G1055" s="30">
        <f t="shared" si="36"/>
        <v>7725904.40625</v>
      </c>
      <c r="H1055" s="30">
        <f t="shared" si="36"/>
        <v>7628108.1479430376</v>
      </c>
    </row>
    <row r="1056" spans="2:8">
      <c r="B1056" s="152">
        <f t="shared" si="34"/>
        <v>0</v>
      </c>
      <c r="D1056" s="30">
        <f t="shared" ref="D1056:H1071" si="37">D221+D388+D722+D889+D555</f>
        <v>0</v>
      </c>
      <c r="E1056" s="30">
        <f t="shared" si="37"/>
        <v>0</v>
      </c>
      <c r="F1056" s="30">
        <f t="shared" si="37"/>
        <v>0</v>
      </c>
      <c r="G1056" s="30">
        <f t="shared" si="37"/>
        <v>0</v>
      </c>
      <c r="H1056" s="30">
        <f t="shared" si="37"/>
        <v>4665842.0812499998</v>
      </c>
    </row>
    <row r="1057" spans="2:8">
      <c r="B1057" s="152">
        <f t="shared" si="34"/>
        <v>0</v>
      </c>
      <c r="D1057" s="30">
        <f t="shared" si="37"/>
        <v>0</v>
      </c>
      <c r="E1057" s="30">
        <f t="shared" si="37"/>
        <v>0</v>
      </c>
      <c r="F1057" s="30">
        <f t="shared" si="37"/>
        <v>749875.52500000002</v>
      </c>
      <c r="G1057" s="30">
        <f t="shared" si="37"/>
        <v>737165.77033898304</v>
      </c>
      <c r="H1057" s="30">
        <f t="shared" si="37"/>
        <v>724456.01567796606</v>
      </c>
    </row>
    <row r="1058" spans="2:8">
      <c r="B1058" s="152">
        <f t="shared" si="34"/>
        <v>0</v>
      </c>
      <c r="D1058" s="30">
        <f t="shared" si="37"/>
        <v>0</v>
      </c>
      <c r="E1058" s="30">
        <f t="shared" si="37"/>
        <v>0</v>
      </c>
      <c r="F1058" s="30">
        <f t="shared" si="37"/>
        <v>0</v>
      </c>
      <c r="G1058" s="30">
        <f t="shared" si="37"/>
        <v>5697683.3083333336</v>
      </c>
      <c r="H1058" s="30">
        <f t="shared" si="37"/>
        <v>5601112.40480226</v>
      </c>
    </row>
    <row r="1059" spans="2:8">
      <c r="B1059" s="152">
        <f t="shared" si="34"/>
        <v>0</v>
      </c>
      <c r="D1059" s="30">
        <f t="shared" si="37"/>
        <v>0</v>
      </c>
      <c r="E1059" s="30">
        <f t="shared" si="37"/>
        <v>0</v>
      </c>
      <c r="F1059" s="30">
        <f t="shared" si="37"/>
        <v>0</v>
      </c>
      <c r="G1059" s="30">
        <f t="shared" si="37"/>
        <v>0</v>
      </c>
      <c r="H1059" s="30">
        <f t="shared" si="37"/>
        <v>4877902.2249999996</v>
      </c>
    </row>
    <row r="1060" spans="2:8">
      <c r="B1060" s="152">
        <f t="shared" si="34"/>
        <v>0</v>
      </c>
      <c r="D1060" s="30">
        <f t="shared" si="37"/>
        <v>0</v>
      </c>
      <c r="E1060" s="30">
        <f t="shared" si="37"/>
        <v>899715.55</v>
      </c>
      <c r="F1060" s="30">
        <f t="shared" si="37"/>
        <v>799747.1555555556</v>
      </c>
      <c r="G1060" s="30">
        <f t="shared" si="37"/>
        <v>699778.76111111115</v>
      </c>
      <c r="H1060" s="30">
        <f t="shared" si="37"/>
        <v>599810.3666666667</v>
      </c>
    </row>
    <row r="1061" spans="2:8">
      <c r="B1061" s="152">
        <f t="shared" si="34"/>
        <v>0</v>
      </c>
      <c r="D1061" s="30">
        <f t="shared" si="37"/>
        <v>0</v>
      </c>
      <c r="E1061" s="30">
        <f t="shared" si="37"/>
        <v>0</v>
      </c>
      <c r="F1061" s="30">
        <f t="shared" si="37"/>
        <v>1402630.35</v>
      </c>
      <c r="G1061" s="30">
        <f t="shared" si="37"/>
        <v>1246782.5333333334</v>
      </c>
      <c r="H1061" s="30">
        <f t="shared" si="37"/>
        <v>1090934.7166666668</v>
      </c>
    </row>
    <row r="1062" spans="2:8">
      <c r="B1062" s="152">
        <f t="shared" si="34"/>
        <v>0</v>
      </c>
      <c r="D1062" s="30">
        <f t="shared" si="37"/>
        <v>0</v>
      </c>
      <c r="E1062" s="30">
        <f t="shared" si="37"/>
        <v>0</v>
      </c>
      <c r="F1062" s="30">
        <f t="shared" si="37"/>
        <v>0</v>
      </c>
      <c r="G1062" s="30">
        <f t="shared" si="37"/>
        <v>1452401.8</v>
      </c>
      <c r="H1062" s="30">
        <f t="shared" si="37"/>
        <v>1291023.8222222223</v>
      </c>
    </row>
    <row r="1063" spans="2:8">
      <c r="B1063" s="152">
        <f t="shared" si="34"/>
        <v>0</v>
      </c>
      <c r="D1063" s="30">
        <f t="shared" si="37"/>
        <v>0</v>
      </c>
      <c r="E1063" s="30">
        <f t="shared" si="37"/>
        <v>0</v>
      </c>
      <c r="F1063" s="30">
        <f t="shared" si="37"/>
        <v>0</v>
      </c>
      <c r="G1063" s="30">
        <f t="shared" si="37"/>
        <v>0</v>
      </c>
      <c r="H1063" s="30">
        <f t="shared" si="37"/>
        <v>1085856.6499999999</v>
      </c>
    </row>
    <row r="1064" spans="2:8">
      <c r="B1064" s="152">
        <f t="shared" si="34"/>
        <v>0</v>
      </c>
      <c r="D1064" s="30">
        <f t="shared" si="37"/>
        <v>0</v>
      </c>
      <c r="E1064" s="30">
        <f t="shared" si="37"/>
        <v>0</v>
      </c>
      <c r="F1064" s="30">
        <f t="shared" si="37"/>
        <v>520501.93333333335</v>
      </c>
      <c r="G1064" s="30">
        <f t="shared" si="37"/>
        <v>502553.59080459771</v>
      </c>
      <c r="H1064" s="30">
        <f t="shared" si="37"/>
        <v>484605.24827586208</v>
      </c>
    </row>
    <row r="1065" spans="2:8">
      <c r="B1065" s="152">
        <f t="shared" si="34"/>
        <v>0</v>
      </c>
      <c r="D1065" s="30">
        <f t="shared" si="37"/>
        <v>0</v>
      </c>
      <c r="E1065" s="30">
        <f t="shared" si="37"/>
        <v>0</v>
      </c>
      <c r="F1065" s="30">
        <f t="shared" si="37"/>
        <v>0</v>
      </c>
      <c r="G1065" s="30">
        <f t="shared" si="37"/>
        <v>4095492.8666666667</v>
      </c>
      <c r="H1065" s="30">
        <f t="shared" si="37"/>
        <v>3954268.9747126438</v>
      </c>
    </row>
    <row r="1066" spans="2:8">
      <c r="B1066" s="152">
        <f t="shared" si="34"/>
        <v>0</v>
      </c>
      <c r="D1066" s="30">
        <f t="shared" si="37"/>
        <v>3105944.7978333337</v>
      </c>
      <c r="E1066" s="30">
        <f t="shared" si="37"/>
        <v>2998843.2530804602</v>
      </c>
      <c r="F1066" s="30">
        <f t="shared" si="37"/>
        <v>2891741.7083275868</v>
      </c>
      <c r="G1066" s="30">
        <f t="shared" si="37"/>
        <v>2784640.1635747133</v>
      </c>
      <c r="H1066" s="30">
        <f t="shared" si="37"/>
        <v>2677538.6188218398</v>
      </c>
    </row>
    <row r="1067" spans="2:8">
      <c r="B1067" s="152">
        <f t="shared" si="34"/>
        <v>0</v>
      </c>
      <c r="D1067" s="30">
        <f t="shared" si="37"/>
        <v>0</v>
      </c>
      <c r="E1067" s="30">
        <f t="shared" si="37"/>
        <v>945236.70883333322</v>
      </c>
      <c r="F1067" s="30">
        <f t="shared" si="37"/>
        <v>912642.33956321829</v>
      </c>
      <c r="G1067" s="30">
        <f t="shared" si="37"/>
        <v>880047.97029310337</v>
      </c>
      <c r="H1067" s="30">
        <f t="shared" si="37"/>
        <v>847453.60102298844</v>
      </c>
    </row>
    <row r="1068" spans="2:8">
      <c r="B1068" s="152">
        <f t="shared" si="34"/>
        <v>0</v>
      </c>
      <c r="D1068" s="30">
        <f t="shared" si="37"/>
        <v>1608194.6534999998</v>
      </c>
      <c r="E1068" s="30">
        <f t="shared" si="37"/>
        <v>1552739.6654482756</v>
      </c>
      <c r="F1068" s="30">
        <f t="shared" si="37"/>
        <v>1497284.6773965515</v>
      </c>
      <c r="G1068" s="30">
        <f t="shared" si="37"/>
        <v>1441829.6893448273</v>
      </c>
      <c r="H1068" s="30">
        <f t="shared" si="37"/>
        <v>1386374.7012931032</v>
      </c>
    </row>
    <row r="1069" spans="2:8">
      <c r="B1069" s="152">
        <f t="shared" si="34"/>
        <v>0</v>
      </c>
      <c r="D1069" s="30">
        <f t="shared" si="37"/>
        <v>0</v>
      </c>
      <c r="E1069" s="30">
        <f t="shared" si="37"/>
        <v>2042641.3501666666</v>
      </c>
      <c r="F1069" s="30">
        <f t="shared" si="37"/>
        <v>1972205.4415402298</v>
      </c>
      <c r="G1069" s="30">
        <f t="shared" si="37"/>
        <v>1901769.5329137931</v>
      </c>
      <c r="H1069" s="30">
        <f t="shared" si="37"/>
        <v>1831333.6242873564</v>
      </c>
    </row>
    <row r="1070" spans="2:8">
      <c r="B1070" s="152">
        <f t="shared" si="34"/>
        <v>0</v>
      </c>
      <c r="D1070" s="30">
        <f t="shared" si="37"/>
        <v>0</v>
      </c>
      <c r="E1070" s="30">
        <f t="shared" si="37"/>
        <v>0</v>
      </c>
      <c r="F1070" s="30">
        <f t="shared" si="37"/>
        <v>99218.333333333328</v>
      </c>
      <c r="G1070" s="30">
        <f t="shared" si="37"/>
        <v>95797.011494252874</v>
      </c>
      <c r="H1070" s="30">
        <f t="shared" si="37"/>
        <v>92375.68965517242</v>
      </c>
    </row>
    <row r="1071" spans="2:8">
      <c r="B1071" s="152">
        <f t="shared" si="34"/>
        <v>0</v>
      </c>
      <c r="D1071" s="30">
        <f t="shared" si="37"/>
        <v>1585318.7418750003</v>
      </c>
      <c r="E1071" s="30">
        <f t="shared" si="37"/>
        <v>1565251.4160284812</v>
      </c>
      <c r="F1071" s="30">
        <f t="shared" si="37"/>
        <v>1545184.0901819621</v>
      </c>
      <c r="G1071" s="30">
        <f t="shared" si="37"/>
        <v>1525116.764335443</v>
      </c>
      <c r="H1071" s="30">
        <f t="shared" si="37"/>
        <v>1505049.4384889239</v>
      </c>
    </row>
    <row r="1072" spans="2:8">
      <c r="B1072" s="152">
        <f t="shared" si="34"/>
        <v>0</v>
      </c>
      <c r="D1072" s="30">
        <f t="shared" ref="D1072:H1087" si="38">D237+D404+D738+D905+D571</f>
        <v>0</v>
      </c>
      <c r="E1072" s="30">
        <f t="shared" si="38"/>
        <v>2139510.2506875</v>
      </c>
      <c r="F1072" s="30">
        <f t="shared" si="38"/>
        <v>2112427.8424509494</v>
      </c>
      <c r="G1072" s="30">
        <f t="shared" si="38"/>
        <v>2085345.4342143987</v>
      </c>
      <c r="H1072" s="30">
        <f t="shared" si="38"/>
        <v>2058263.0259778481</v>
      </c>
    </row>
    <row r="1073" spans="2:8">
      <c r="B1073" s="152">
        <f t="shared" si="34"/>
        <v>0</v>
      </c>
      <c r="D1073" s="30">
        <f t="shared" si="38"/>
        <v>0</v>
      </c>
      <c r="E1073" s="30">
        <f t="shared" si="38"/>
        <v>0</v>
      </c>
      <c r="F1073" s="30">
        <f t="shared" si="38"/>
        <v>526622.85</v>
      </c>
      <c r="G1073" s="30">
        <f t="shared" si="38"/>
        <v>498905.85789473681</v>
      </c>
      <c r="H1073" s="30">
        <f t="shared" si="38"/>
        <v>471188.86578947364</v>
      </c>
    </row>
    <row r="1074" spans="2:8">
      <c r="B1074" s="152">
        <f t="shared" si="34"/>
        <v>0</v>
      </c>
      <c r="D1074" s="30">
        <f t="shared" si="38"/>
        <v>0</v>
      </c>
      <c r="E1074" s="30">
        <f t="shared" si="38"/>
        <v>0</v>
      </c>
      <c r="F1074" s="30">
        <f t="shared" si="38"/>
        <v>0</v>
      </c>
      <c r="G1074" s="30">
        <f t="shared" si="38"/>
        <v>1543098.375</v>
      </c>
      <c r="H1074" s="30">
        <f t="shared" si="38"/>
        <v>1461882.6710526315</v>
      </c>
    </row>
    <row r="1075" spans="2:8">
      <c r="B1075" s="152">
        <f t="shared" si="34"/>
        <v>0</v>
      </c>
      <c r="D1075" s="30">
        <f t="shared" si="38"/>
        <v>0</v>
      </c>
      <c r="E1075" s="30">
        <f t="shared" si="38"/>
        <v>0</v>
      </c>
      <c r="F1075" s="30">
        <f t="shared" si="38"/>
        <v>0</v>
      </c>
      <c r="G1075" s="30">
        <f t="shared" si="38"/>
        <v>0</v>
      </c>
      <c r="H1075" s="30">
        <f t="shared" si="38"/>
        <v>1114431.825</v>
      </c>
    </row>
    <row r="1076" spans="2:8">
      <c r="B1076" s="152">
        <f t="shared" si="34"/>
        <v>0</v>
      </c>
      <c r="D1076" s="30">
        <f t="shared" si="38"/>
        <v>173049.89324999999</v>
      </c>
      <c r="E1076" s="30">
        <f t="shared" si="38"/>
        <v>163942.00413157896</v>
      </c>
      <c r="F1076" s="30">
        <f t="shared" si="38"/>
        <v>154834.11501315789</v>
      </c>
      <c r="G1076" s="30">
        <f t="shared" si="38"/>
        <v>145726.22589473682</v>
      </c>
      <c r="H1076" s="30">
        <f t="shared" si="38"/>
        <v>136618.33677631576</v>
      </c>
    </row>
    <row r="1077" spans="2:8">
      <c r="B1077" s="152">
        <f t="shared" si="34"/>
        <v>0</v>
      </c>
      <c r="D1077" s="30">
        <f t="shared" si="38"/>
        <v>0</v>
      </c>
      <c r="E1077" s="30">
        <f t="shared" si="38"/>
        <v>226641.44100000002</v>
      </c>
      <c r="F1077" s="30">
        <f t="shared" si="38"/>
        <v>214712.94410526319</v>
      </c>
      <c r="G1077" s="30">
        <f t="shared" si="38"/>
        <v>202784.44721052636</v>
      </c>
      <c r="H1077" s="30">
        <f t="shared" si="38"/>
        <v>190855.95031578952</v>
      </c>
    </row>
    <row r="1078" spans="2:8">
      <c r="B1078" s="152">
        <f t="shared" si="34"/>
        <v>0</v>
      </c>
      <c r="D1078" s="30">
        <f t="shared" si="38"/>
        <v>0</v>
      </c>
      <c r="E1078" s="30">
        <f t="shared" si="38"/>
        <v>0</v>
      </c>
      <c r="F1078" s="30">
        <f t="shared" si="38"/>
        <v>2251664.0249999999</v>
      </c>
      <c r="G1078" s="30">
        <f t="shared" si="38"/>
        <v>2133155.3921052632</v>
      </c>
      <c r="H1078" s="30">
        <f t="shared" si="38"/>
        <v>2014646.7592105262</v>
      </c>
    </row>
    <row r="1079" spans="2:8">
      <c r="B1079" s="152">
        <f t="shared" si="34"/>
        <v>0</v>
      </c>
      <c r="D1079" s="30">
        <f t="shared" si="38"/>
        <v>0</v>
      </c>
      <c r="E1079" s="30">
        <f t="shared" si="38"/>
        <v>0</v>
      </c>
      <c r="F1079" s="30">
        <f t="shared" si="38"/>
        <v>0</v>
      </c>
      <c r="G1079" s="30">
        <f t="shared" si="38"/>
        <v>141489.07500000001</v>
      </c>
      <c r="H1079" s="30">
        <f t="shared" si="38"/>
        <v>134042.28157894738</v>
      </c>
    </row>
    <row r="1080" spans="2:8">
      <c r="B1080" s="152">
        <f t="shared" si="34"/>
        <v>0</v>
      </c>
      <c r="D1080" s="30">
        <f t="shared" si="38"/>
        <v>0</v>
      </c>
      <c r="E1080" s="30">
        <f t="shared" si="38"/>
        <v>0</v>
      </c>
      <c r="F1080" s="30">
        <f t="shared" si="38"/>
        <v>0</v>
      </c>
      <c r="G1080" s="30">
        <f t="shared" si="38"/>
        <v>1379626.10625</v>
      </c>
      <c r="H1080" s="30">
        <f t="shared" si="38"/>
        <v>1362162.4846518987</v>
      </c>
    </row>
    <row r="1081" spans="2:8">
      <c r="B1081" s="152">
        <f t="shared" si="34"/>
        <v>0</v>
      </c>
      <c r="D1081" s="30">
        <f t="shared" si="38"/>
        <v>0</v>
      </c>
      <c r="E1081" s="30">
        <f t="shared" si="38"/>
        <v>0</v>
      </c>
      <c r="F1081" s="30">
        <f t="shared" si="38"/>
        <v>0</v>
      </c>
      <c r="G1081" s="30">
        <f t="shared" si="38"/>
        <v>0</v>
      </c>
      <c r="H1081" s="30">
        <f t="shared" si="38"/>
        <v>1419829.2562500001</v>
      </c>
    </row>
    <row r="1082" spans="2:8">
      <c r="B1082" s="152">
        <f t="shared" si="34"/>
        <v>0</v>
      </c>
      <c r="D1082" s="30">
        <f t="shared" si="38"/>
        <v>240593.15</v>
      </c>
      <c r="E1082" s="30">
        <f t="shared" si="38"/>
        <v>232296.83448275863</v>
      </c>
      <c r="F1082" s="30">
        <f t="shared" si="38"/>
        <v>224000.51896551726</v>
      </c>
      <c r="G1082" s="30">
        <f t="shared" si="38"/>
        <v>215704.20344827589</v>
      </c>
      <c r="H1082" s="30">
        <f t="shared" si="38"/>
        <v>207407.88793103452</v>
      </c>
    </row>
    <row r="1083" spans="2:8">
      <c r="B1083" s="152">
        <f t="shared" si="34"/>
        <v>0</v>
      </c>
      <c r="D1083" s="30">
        <f t="shared" si="38"/>
        <v>0</v>
      </c>
      <c r="E1083" s="30">
        <f t="shared" si="38"/>
        <v>2330280.7068333337</v>
      </c>
      <c r="F1083" s="30">
        <f t="shared" si="38"/>
        <v>2249926.1997011499</v>
      </c>
      <c r="G1083" s="30">
        <f t="shared" si="38"/>
        <v>2169571.6925689662</v>
      </c>
      <c r="H1083" s="30">
        <f t="shared" si="38"/>
        <v>2089217.1854367822</v>
      </c>
    </row>
    <row r="1084" spans="2:8">
      <c r="B1084" s="152">
        <f t="shared" si="34"/>
        <v>0</v>
      </c>
      <c r="D1084" s="30">
        <f t="shared" si="38"/>
        <v>0</v>
      </c>
      <c r="E1084" s="30">
        <f t="shared" si="38"/>
        <v>0</v>
      </c>
      <c r="F1084" s="30">
        <f t="shared" si="38"/>
        <v>265561.95</v>
      </c>
      <c r="G1084" s="30">
        <f t="shared" si="38"/>
        <v>256404.64137931034</v>
      </c>
      <c r="H1084" s="30">
        <f t="shared" si="38"/>
        <v>247247.33275862067</v>
      </c>
    </row>
    <row r="1085" spans="2:8">
      <c r="B1085" s="152">
        <f t="shared" si="34"/>
        <v>0</v>
      </c>
      <c r="D1085" s="30">
        <f t="shared" si="38"/>
        <v>0</v>
      </c>
      <c r="E1085" s="30">
        <f t="shared" si="38"/>
        <v>0</v>
      </c>
      <c r="F1085" s="30">
        <f t="shared" si="38"/>
        <v>0</v>
      </c>
      <c r="G1085" s="30">
        <f t="shared" si="38"/>
        <v>1433422.7</v>
      </c>
      <c r="H1085" s="30">
        <f t="shared" si="38"/>
        <v>1383994.3310344827</v>
      </c>
    </row>
    <row r="1086" spans="2:8">
      <c r="B1086" s="152">
        <f t="shared" si="34"/>
        <v>0</v>
      </c>
      <c r="D1086" s="30">
        <f t="shared" si="38"/>
        <v>0</v>
      </c>
      <c r="E1086" s="30">
        <f t="shared" si="38"/>
        <v>0</v>
      </c>
      <c r="F1086" s="30">
        <f t="shared" si="38"/>
        <v>0</v>
      </c>
      <c r="G1086" s="30">
        <f t="shared" si="38"/>
        <v>0</v>
      </c>
      <c r="H1086" s="30">
        <f t="shared" si="38"/>
        <v>702472.68333333335</v>
      </c>
    </row>
    <row r="1087" spans="2:8">
      <c r="B1087" s="152">
        <f t="shared" si="34"/>
        <v>0</v>
      </c>
      <c r="D1087" s="30">
        <f t="shared" si="38"/>
        <v>407111.59416666668</v>
      </c>
      <c r="E1087" s="30">
        <f t="shared" si="38"/>
        <v>400211.39765536727</v>
      </c>
      <c r="F1087" s="30">
        <f t="shared" si="38"/>
        <v>393311.20114406786</v>
      </c>
      <c r="G1087" s="30">
        <f t="shared" si="38"/>
        <v>386411.00463276845</v>
      </c>
      <c r="H1087" s="30">
        <f t="shared" si="38"/>
        <v>379510.80812146899</v>
      </c>
    </row>
    <row r="1088" spans="2:8">
      <c r="B1088" s="152">
        <f t="shared" ref="B1088:B1151" si="39">B921</f>
        <v>0</v>
      </c>
      <c r="D1088" s="30">
        <f t="shared" ref="D1088:H1103" si="40">D253+D420+D754+D921+D587</f>
        <v>0</v>
      </c>
      <c r="E1088" s="30">
        <f t="shared" si="40"/>
        <v>167294.76166666666</v>
      </c>
      <c r="F1088" s="30">
        <f t="shared" si="40"/>
        <v>164459.25723163842</v>
      </c>
      <c r="G1088" s="30">
        <f t="shared" si="40"/>
        <v>161623.75279661018</v>
      </c>
      <c r="H1088" s="30">
        <f t="shared" si="40"/>
        <v>158788.24836158194</v>
      </c>
    </row>
    <row r="1089" spans="2:8">
      <c r="B1089" s="152">
        <f t="shared" si="39"/>
        <v>0</v>
      </c>
      <c r="D1089" s="30">
        <f t="shared" si="40"/>
        <v>0</v>
      </c>
      <c r="E1089" s="30">
        <f t="shared" si="40"/>
        <v>0</v>
      </c>
      <c r="F1089" s="30">
        <f t="shared" si="40"/>
        <v>1613548.7666666666</v>
      </c>
      <c r="G1089" s="30">
        <f t="shared" si="40"/>
        <v>1586200.4824858757</v>
      </c>
      <c r="H1089" s="30">
        <f t="shared" si="40"/>
        <v>1558852.1983050848</v>
      </c>
    </row>
    <row r="1090" spans="2:8">
      <c r="B1090" s="152">
        <f t="shared" si="39"/>
        <v>0</v>
      </c>
      <c r="D1090" s="30">
        <f t="shared" si="40"/>
        <v>1964231.8400833334</v>
      </c>
      <c r="E1090" s="30">
        <f t="shared" si="40"/>
        <v>1930939.7749971752</v>
      </c>
      <c r="F1090" s="30">
        <f t="shared" si="40"/>
        <v>1897647.709911017</v>
      </c>
      <c r="G1090" s="30">
        <f t="shared" si="40"/>
        <v>1864355.6448248588</v>
      </c>
      <c r="H1090" s="30">
        <f t="shared" si="40"/>
        <v>1831063.5797387005</v>
      </c>
    </row>
    <row r="1091" spans="2:8">
      <c r="B1091" s="152">
        <f t="shared" si="39"/>
        <v>0</v>
      </c>
      <c r="D1091" s="30">
        <f t="shared" si="40"/>
        <v>0</v>
      </c>
      <c r="E1091" s="30">
        <f t="shared" si="40"/>
        <v>45247.39974999999</v>
      </c>
      <c r="F1091" s="30">
        <f t="shared" si="40"/>
        <v>44480.494669491512</v>
      </c>
      <c r="G1091" s="30">
        <f t="shared" si="40"/>
        <v>43713.589588983035</v>
      </c>
      <c r="H1091" s="30">
        <f t="shared" si="40"/>
        <v>42946.684508474558</v>
      </c>
    </row>
    <row r="1092" spans="2:8">
      <c r="B1092" s="152">
        <f t="shared" si="39"/>
        <v>0</v>
      </c>
      <c r="D1092" s="30">
        <f t="shared" si="40"/>
        <v>286500.38081249996</v>
      </c>
      <c r="E1092" s="30">
        <f t="shared" si="40"/>
        <v>282873.79371360753</v>
      </c>
      <c r="F1092" s="30">
        <f t="shared" si="40"/>
        <v>279247.20661471511</v>
      </c>
      <c r="G1092" s="30">
        <f t="shared" si="40"/>
        <v>275620.61951582268</v>
      </c>
      <c r="H1092" s="30">
        <f t="shared" si="40"/>
        <v>271994.03241693025</v>
      </c>
    </row>
    <row r="1093" spans="2:8">
      <c r="B1093" s="152">
        <f t="shared" si="39"/>
        <v>0</v>
      </c>
      <c r="D1093" s="30">
        <f t="shared" si="40"/>
        <v>0</v>
      </c>
      <c r="E1093" s="30">
        <f t="shared" si="40"/>
        <v>170089.81275000001</v>
      </c>
      <c r="F1093" s="30">
        <f t="shared" si="40"/>
        <v>167936.77714556962</v>
      </c>
      <c r="G1093" s="30">
        <f t="shared" si="40"/>
        <v>165783.74154113923</v>
      </c>
      <c r="H1093" s="30">
        <f t="shared" si="40"/>
        <v>163630.70593670884</v>
      </c>
    </row>
    <row r="1094" spans="2:8">
      <c r="B1094" s="152">
        <f t="shared" si="39"/>
        <v>0</v>
      </c>
      <c r="D1094" s="30">
        <f t="shared" si="40"/>
        <v>0</v>
      </c>
      <c r="E1094" s="30">
        <f t="shared" si="40"/>
        <v>0</v>
      </c>
      <c r="F1094" s="30">
        <f t="shared" si="40"/>
        <v>429400.36875000002</v>
      </c>
      <c r="G1094" s="30">
        <f t="shared" si="40"/>
        <v>423964.9210443038</v>
      </c>
      <c r="H1094" s="30">
        <f t="shared" si="40"/>
        <v>418529.47333860758</v>
      </c>
    </row>
    <row r="1095" spans="2:8">
      <c r="B1095" s="152">
        <f t="shared" si="39"/>
        <v>0</v>
      </c>
      <c r="D1095" s="30">
        <f t="shared" si="40"/>
        <v>0</v>
      </c>
      <c r="E1095" s="30">
        <f t="shared" si="40"/>
        <v>0</v>
      </c>
      <c r="F1095" s="30">
        <f t="shared" si="40"/>
        <v>0</v>
      </c>
      <c r="G1095" s="30">
        <f t="shared" si="40"/>
        <v>441480.39374999999</v>
      </c>
      <c r="H1095" s="30">
        <f t="shared" si="40"/>
        <v>435892.03433544305</v>
      </c>
    </row>
    <row r="1096" spans="2:8">
      <c r="B1096" s="152">
        <f t="shared" si="39"/>
        <v>0</v>
      </c>
      <c r="D1096" s="30">
        <f t="shared" si="40"/>
        <v>0</v>
      </c>
      <c r="E1096" s="30">
        <f t="shared" si="40"/>
        <v>0</v>
      </c>
      <c r="F1096" s="30">
        <f t="shared" si="40"/>
        <v>0</v>
      </c>
      <c r="G1096" s="30">
        <f t="shared" si="40"/>
        <v>0</v>
      </c>
      <c r="H1096" s="30">
        <f t="shared" si="40"/>
        <v>454345.48125000001</v>
      </c>
    </row>
    <row r="1097" spans="2:8">
      <c r="B1097" s="152">
        <f t="shared" si="39"/>
        <v>0</v>
      </c>
      <c r="D1097" s="30">
        <f t="shared" si="40"/>
        <v>0</v>
      </c>
      <c r="E1097" s="30">
        <f t="shared" si="40"/>
        <v>0</v>
      </c>
      <c r="F1097" s="30">
        <f t="shared" si="40"/>
        <v>0</v>
      </c>
      <c r="G1097" s="30">
        <f t="shared" si="40"/>
        <v>108287.4</v>
      </c>
      <c r="H1097" s="30">
        <f t="shared" si="40"/>
        <v>102588.06315789474</v>
      </c>
    </row>
    <row r="1098" spans="2:8">
      <c r="B1098" s="152">
        <f t="shared" si="39"/>
        <v>0</v>
      </c>
      <c r="D1098" s="30">
        <f t="shared" si="40"/>
        <v>0</v>
      </c>
      <c r="E1098" s="30">
        <f t="shared" si="40"/>
        <v>0</v>
      </c>
      <c r="F1098" s="30">
        <f t="shared" si="40"/>
        <v>0</v>
      </c>
      <c r="G1098" s="30">
        <f t="shared" si="40"/>
        <v>0</v>
      </c>
      <c r="H1098" s="30">
        <f t="shared" si="40"/>
        <v>919406.47499999998</v>
      </c>
    </row>
    <row r="1099" spans="2:8">
      <c r="B1099" s="152">
        <f t="shared" si="39"/>
        <v>0</v>
      </c>
      <c r="D1099" s="30">
        <f t="shared" si="40"/>
        <v>0</v>
      </c>
      <c r="E1099" s="30">
        <f t="shared" si="40"/>
        <v>0</v>
      </c>
      <c r="F1099" s="30">
        <f t="shared" si="40"/>
        <v>320718.38400244946</v>
      </c>
      <c r="G1099" s="30">
        <f t="shared" si="40"/>
        <v>309659.12938167533</v>
      </c>
      <c r="H1099" s="30">
        <f t="shared" si="40"/>
        <v>298599.87476090121</v>
      </c>
    </row>
    <row r="1100" spans="2:8">
      <c r="B1100" s="152">
        <f t="shared" si="39"/>
        <v>0</v>
      </c>
      <c r="D1100" s="30">
        <f t="shared" si="40"/>
        <v>0</v>
      </c>
      <c r="E1100" s="30">
        <f t="shared" si="40"/>
        <v>0</v>
      </c>
      <c r="F1100" s="30">
        <f t="shared" si="40"/>
        <v>0</v>
      </c>
      <c r="G1100" s="30">
        <f t="shared" si="40"/>
        <v>329065.3508932938</v>
      </c>
      <c r="H1100" s="30">
        <f t="shared" si="40"/>
        <v>317718.26982800779</v>
      </c>
    </row>
    <row r="1101" spans="2:8">
      <c r="B1101" s="152">
        <f t="shared" si="39"/>
        <v>0</v>
      </c>
      <c r="D1101" s="30">
        <f t="shared" si="40"/>
        <v>0</v>
      </c>
      <c r="E1101" s="30">
        <f t="shared" si="40"/>
        <v>0</v>
      </c>
      <c r="F1101" s="30">
        <f t="shared" si="40"/>
        <v>0</v>
      </c>
      <c r="G1101" s="30">
        <f t="shared" si="40"/>
        <v>0</v>
      </c>
      <c r="H1101" s="30">
        <f t="shared" si="40"/>
        <v>358508.75055395364</v>
      </c>
    </row>
    <row r="1102" spans="2:8">
      <c r="B1102" s="152">
        <f t="shared" si="39"/>
        <v>0</v>
      </c>
      <c r="D1102" s="30">
        <f t="shared" si="40"/>
        <v>0</v>
      </c>
      <c r="E1102" s="30">
        <f t="shared" si="40"/>
        <v>0</v>
      </c>
      <c r="F1102" s="30">
        <f t="shared" si="40"/>
        <v>0</v>
      </c>
      <c r="G1102" s="30">
        <f t="shared" si="40"/>
        <v>423201.1</v>
      </c>
      <c r="H1102" s="30">
        <f t="shared" si="40"/>
        <v>408607.95862068963</v>
      </c>
    </row>
    <row r="1103" spans="2:8">
      <c r="B1103" s="152">
        <f t="shared" si="39"/>
        <v>0</v>
      </c>
      <c r="D1103" s="30">
        <f t="shared" si="40"/>
        <v>0</v>
      </c>
      <c r="E1103" s="30">
        <f t="shared" si="40"/>
        <v>0</v>
      </c>
      <c r="F1103" s="30">
        <f t="shared" si="40"/>
        <v>0</v>
      </c>
      <c r="G1103" s="30">
        <f t="shared" si="40"/>
        <v>0</v>
      </c>
      <c r="H1103" s="30">
        <f t="shared" si="40"/>
        <v>561978.93333333335</v>
      </c>
    </row>
    <row r="1104" spans="2:8">
      <c r="B1104" s="152">
        <f t="shared" si="39"/>
        <v>0</v>
      </c>
      <c r="D1104" s="30">
        <f t="shared" ref="D1104:H1119" si="41">D269+D436+D770+D937+D603</f>
        <v>92397.6328125</v>
      </c>
      <c r="E1104" s="30">
        <f t="shared" si="41"/>
        <v>91228.042523734184</v>
      </c>
      <c r="F1104" s="30">
        <f t="shared" si="41"/>
        <v>90058.452234968368</v>
      </c>
      <c r="G1104" s="30">
        <f t="shared" si="41"/>
        <v>88888.861946202553</v>
      </c>
      <c r="H1104" s="30">
        <f t="shared" si="41"/>
        <v>87719.271657436737</v>
      </c>
    </row>
    <row r="1105" spans="2:8">
      <c r="B1105" s="152">
        <f t="shared" si="39"/>
        <v>0</v>
      </c>
      <c r="D1105" s="30">
        <f t="shared" si="41"/>
        <v>0</v>
      </c>
      <c r="E1105" s="30">
        <f t="shared" si="41"/>
        <v>733791.68793749996</v>
      </c>
      <c r="F1105" s="30">
        <f t="shared" si="41"/>
        <v>724503.18555854424</v>
      </c>
      <c r="G1105" s="30">
        <f t="shared" si="41"/>
        <v>715214.68317958852</v>
      </c>
      <c r="H1105" s="30">
        <f t="shared" si="41"/>
        <v>705926.18080063281</v>
      </c>
    </row>
    <row r="1106" spans="2:8">
      <c r="B1106" s="152">
        <f t="shared" si="39"/>
        <v>0</v>
      </c>
      <c r="D1106" s="30">
        <f t="shared" si="41"/>
        <v>798675.31274999992</v>
      </c>
      <c r="E1106" s="30">
        <f t="shared" si="41"/>
        <v>785138.44304237282</v>
      </c>
      <c r="F1106" s="30">
        <f t="shared" si="41"/>
        <v>771601.57333474571</v>
      </c>
      <c r="G1106" s="30">
        <f t="shared" si="41"/>
        <v>758064.70362711861</v>
      </c>
      <c r="H1106" s="30">
        <f t="shared" si="41"/>
        <v>744527.8339194915</v>
      </c>
    </row>
    <row r="1107" spans="2:8">
      <c r="B1107" s="152">
        <f t="shared" si="39"/>
        <v>0</v>
      </c>
      <c r="D1107" s="30">
        <f t="shared" si="41"/>
        <v>0</v>
      </c>
      <c r="E1107" s="30">
        <f t="shared" si="41"/>
        <v>21984.030249999996</v>
      </c>
      <c r="F1107" s="30">
        <f t="shared" si="41"/>
        <v>21611.419567796605</v>
      </c>
      <c r="G1107" s="30">
        <f t="shared" si="41"/>
        <v>21238.808885593215</v>
      </c>
      <c r="H1107" s="30">
        <f t="shared" si="41"/>
        <v>20866.198203389824</v>
      </c>
    </row>
    <row r="1108" spans="2:8">
      <c r="B1108" s="152">
        <f t="shared" si="39"/>
        <v>0</v>
      </c>
      <c r="D1108" s="30">
        <f t="shared" si="41"/>
        <v>530349.11475000007</v>
      </c>
      <c r="E1108" s="30">
        <f t="shared" si="41"/>
        <v>521360.14670338988</v>
      </c>
      <c r="F1108" s="30">
        <f t="shared" si="41"/>
        <v>512371.1786567797</v>
      </c>
      <c r="G1108" s="30">
        <f t="shared" si="41"/>
        <v>503382.21061016951</v>
      </c>
      <c r="H1108" s="30">
        <f t="shared" si="41"/>
        <v>494393.24256355932</v>
      </c>
    </row>
    <row r="1109" spans="2:8">
      <c r="B1109" s="152">
        <f t="shared" si="39"/>
        <v>0</v>
      </c>
      <c r="D1109" s="30">
        <f t="shared" si="41"/>
        <v>0</v>
      </c>
      <c r="E1109" s="30">
        <f t="shared" si="41"/>
        <v>163074.80349999998</v>
      </c>
      <c r="F1109" s="30">
        <f t="shared" si="41"/>
        <v>160310.823779661</v>
      </c>
      <c r="G1109" s="30">
        <f t="shared" si="41"/>
        <v>157546.84405932203</v>
      </c>
      <c r="H1109" s="30">
        <f t="shared" si="41"/>
        <v>154782.86433898305</v>
      </c>
    </row>
    <row r="1110" spans="2:8">
      <c r="B1110" s="152">
        <f t="shared" si="39"/>
        <v>0</v>
      </c>
      <c r="D1110" s="30">
        <f t="shared" si="41"/>
        <v>0</v>
      </c>
      <c r="E1110" s="30">
        <f t="shared" si="41"/>
        <v>0</v>
      </c>
      <c r="F1110" s="30">
        <f t="shared" si="41"/>
        <v>641436.76800489891</v>
      </c>
      <c r="G1110" s="30">
        <f t="shared" si="41"/>
        <v>619318.25876335066</v>
      </c>
      <c r="H1110" s="30">
        <f t="shared" si="41"/>
        <v>597199.74952180241</v>
      </c>
    </row>
    <row r="1111" spans="2:8">
      <c r="B1111" s="152">
        <f t="shared" si="39"/>
        <v>0</v>
      </c>
      <c r="D1111" s="30">
        <f t="shared" si="41"/>
        <v>16333.454083333339</v>
      </c>
      <c r="E1111" s="30">
        <f t="shared" si="41"/>
        <v>16056.61587853108</v>
      </c>
      <c r="F1111" s="30">
        <f t="shared" si="41"/>
        <v>15779.77767372882</v>
      </c>
      <c r="G1111" s="30">
        <f t="shared" si="41"/>
        <v>15502.939468926561</v>
      </c>
      <c r="H1111" s="30">
        <f t="shared" si="41"/>
        <v>15226.101264124301</v>
      </c>
    </row>
    <row r="1112" spans="2:8">
      <c r="B1112" s="152">
        <f t="shared" si="39"/>
        <v>0</v>
      </c>
      <c r="D1112" s="30">
        <f t="shared" si="41"/>
        <v>0</v>
      </c>
      <c r="E1112" s="30">
        <f t="shared" si="41"/>
        <v>182762.53636666667</v>
      </c>
      <c r="F1112" s="30">
        <f t="shared" si="41"/>
        <v>179664.86625875707</v>
      </c>
      <c r="G1112" s="30">
        <f t="shared" si="41"/>
        <v>176567.19615084748</v>
      </c>
      <c r="H1112" s="30">
        <f t="shared" si="41"/>
        <v>173469.52604293788</v>
      </c>
    </row>
    <row r="1113" spans="2:8">
      <c r="B1113" s="152">
        <f t="shared" si="39"/>
        <v>0</v>
      </c>
      <c r="D1113" s="30">
        <f t="shared" si="41"/>
        <v>0</v>
      </c>
      <c r="E1113" s="30">
        <f t="shared" si="41"/>
        <v>0</v>
      </c>
      <c r="F1113" s="30">
        <f t="shared" si="41"/>
        <v>214249.58333333334</v>
      </c>
      <c r="G1113" s="30">
        <f t="shared" si="41"/>
        <v>210618.23446327684</v>
      </c>
      <c r="H1113" s="30">
        <f t="shared" si="41"/>
        <v>206986.88559322033</v>
      </c>
    </row>
    <row r="1114" spans="2:8">
      <c r="B1114" s="152">
        <f t="shared" si="39"/>
        <v>0</v>
      </c>
      <c r="D1114" s="30">
        <f t="shared" si="41"/>
        <v>155371.73516666671</v>
      </c>
      <c r="E1114" s="30">
        <f t="shared" si="41"/>
        <v>152738.31592655371</v>
      </c>
      <c r="F1114" s="30">
        <f t="shared" si="41"/>
        <v>150104.89668644071</v>
      </c>
      <c r="G1114" s="30">
        <f t="shared" si="41"/>
        <v>147471.47744632771</v>
      </c>
      <c r="H1114" s="30">
        <f t="shared" si="41"/>
        <v>144838.05820621472</v>
      </c>
    </row>
    <row r="1115" spans="2:8">
      <c r="B1115" s="152">
        <f t="shared" si="39"/>
        <v>0</v>
      </c>
      <c r="D1115" s="30">
        <f t="shared" si="41"/>
        <v>0</v>
      </c>
      <c r="E1115" s="30">
        <f t="shared" si="41"/>
        <v>114389.345</v>
      </c>
      <c r="F1115" s="30">
        <f t="shared" si="41"/>
        <v>112450.54254237289</v>
      </c>
      <c r="G1115" s="30">
        <f t="shared" si="41"/>
        <v>110511.74008474578</v>
      </c>
      <c r="H1115" s="30">
        <f t="shared" si="41"/>
        <v>108572.93762711866</v>
      </c>
    </row>
    <row r="1116" spans="2:8">
      <c r="B1116" s="152">
        <f t="shared" si="39"/>
        <v>0</v>
      </c>
      <c r="D1116" s="30">
        <f t="shared" si="41"/>
        <v>0</v>
      </c>
      <c r="E1116" s="30">
        <f t="shared" si="41"/>
        <v>0</v>
      </c>
      <c r="F1116" s="30">
        <f t="shared" si="41"/>
        <v>0</v>
      </c>
      <c r="G1116" s="30">
        <f t="shared" si="41"/>
        <v>259514.20833333334</v>
      </c>
      <c r="H1116" s="30">
        <f t="shared" si="41"/>
        <v>255115.66242937854</v>
      </c>
    </row>
    <row r="1117" spans="2:8">
      <c r="B1117" s="152">
        <f t="shared" si="39"/>
        <v>0</v>
      </c>
      <c r="D1117" s="30">
        <f t="shared" si="41"/>
        <v>119951.48433333341</v>
      </c>
      <c r="E1117" s="30">
        <f t="shared" si="41"/>
        <v>117918.40832768369</v>
      </c>
      <c r="F1117" s="30">
        <f t="shared" si="41"/>
        <v>115885.33232203397</v>
      </c>
      <c r="G1117" s="30">
        <f t="shared" si="41"/>
        <v>113852.25631638424</v>
      </c>
      <c r="H1117" s="30">
        <f t="shared" si="41"/>
        <v>111819.18031073452</v>
      </c>
    </row>
    <row r="1118" spans="2:8">
      <c r="B1118" s="152">
        <f t="shared" si="39"/>
        <v>0</v>
      </c>
      <c r="D1118" s="30">
        <f t="shared" si="41"/>
        <v>99850.757999999973</v>
      </c>
      <c r="E1118" s="30">
        <f t="shared" si="41"/>
        <v>98158.37227118641</v>
      </c>
      <c r="F1118" s="30">
        <f t="shared" si="41"/>
        <v>96465.986542372848</v>
      </c>
      <c r="G1118" s="30">
        <f t="shared" si="41"/>
        <v>94773.600813559286</v>
      </c>
      <c r="H1118" s="30">
        <f t="shared" si="41"/>
        <v>93081.215084745723</v>
      </c>
    </row>
    <row r="1119" spans="2:8">
      <c r="B1119" s="152">
        <f t="shared" si="39"/>
        <v>0</v>
      </c>
      <c r="D1119" s="30">
        <f t="shared" si="41"/>
        <v>70306.749187500012</v>
      </c>
      <c r="E1119" s="30">
        <f t="shared" si="41"/>
        <v>69416.790337025333</v>
      </c>
      <c r="F1119" s="30">
        <f t="shared" si="41"/>
        <v>68526.831486550655</v>
      </c>
      <c r="G1119" s="30">
        <f t="shared" si="41"/>
        <v>67636.872636075976</v>
      </c>
      <c r="H1119" s="30">
        <f t="shared" si="41"/>
        <v>66746.913785601297</v>
      </c>
    </row>
    <row r="1120" spans="2:8">
      <c r="B1120" s="152">
        <f t="shared" si="39"/>
        <v>0</v>
      </c>
      <c r="D1120" s="30">
        <f t="shared" ref="D1120:H1135" si="42">D285+D452+D786+D953+D619</f>
        <v>135279.24950000003</v>
      </c>
      <c r="E1120" s="30">
        <f t="shared" si="42"/>
        <v>120248.22177777781</v>
      </c>
      <c r="F1120" s="30">
        <f t="shared" si="42"/>
        <v>105217.19405555559</v>
      </c>
      <c r="G1120" s="30">
        <f t="shared" si="42"/>
        <v>90186.166333333371</v>
      </c>
      <c r="H1120" s="30">
        <f t="shared" si="42"/>
        <v>75155.13861111115</v>
      </c>
    </row>
    <row r="1121" spans="2:8">
      <c r="B1121" s="152">
        <f t="shared" si="39"/>
        <v>0</v>
      </c>
      <c r="D1121" s="30">
        <f t="shared" si="42"/>
        <v>22327.875</v>
      </c>
      <c r="E1121" s="30">
        <f t="shared" si="42"/>
        <v>16745.90625</v>
      </c>
      <c r="F1121" s="30">
        <f t="shared" si="42"/>
        <v>11163.9375</v>
      </c>
      <c r="G1121" s="30">
        <f t="shared" si="42"/>
        <v>5581.96875</v>
      </c>
      <c r="H1121" s="30">
        <f t="shared" si="42"/>
        <v>0</v>
      </c>
    </row>
    <row r="1122" spans="2:8">
      <c r="B1122" s="152">
        <f t="shared" si="39"/>
        <v>0</v>
      </c>
      <c r="D1122" s="30">
        <f t="shared" si="42"/>
        <v>0</v>
      </c>
      <c r="E1122" s="30">
        <f t="shared" si="42"/>
        <v>207833.33333333334</v>
      </c>
      <c r="F1122" s="30">
        <f t="shared" si="42"/>
        <v>192988.09523809524</v>
      </c>
      <c r="G1122" s="30">
        <f t="shared" si="42"/>
        <v>178142.85714285713</v>
      </c>
      <c r="H1122" s="30">
        <f t="shared" si="42"/>
        <v>163297.61904761902</v>
      </c>
    </row>
    <row r="1123" spans="2:8">
      <c r="B1123" s="152">
        <f t="shared" si="39"/>
        <v>0</v>
      </c>
      <c r="D1123" s="30">
        <f t="shared" si="42"/>
        <v>517502.98799999995</v>
      </c>
      <c r="E1123" s="30">
        <f t="shared" si="42"/>
        <v>388127.24099999998</v>
      </c>
      <c r="F1123" s="30">
        <f t="shared" si="42"/>
        <v>258751.49400000001</v>
      </c>
      <c r="G1123" s="30">
        <f t="shared" si="42"/>
        <v>129375.747</v>
      </c>
      <c r="H1123" s="30">
        <f t="shared" si="42"/>
        <v>0</v>
      </c>
    </row>
    <row r="1124" spans="2:8">
      <c r="B1124" s="152">
        <f t="shared" si="39"/>
        <v>0</v>
      </c>
      <c r="D1124" s="30">
        <f t="shared" si="42"/>
        <v>0</v>
      </c>
      <c r="E1124" s="30">
        <f t="shared" si="42"/>
        <v>377550.00000000006</v>
      </c>
      <c r="F1124" s="30">
        <f t="shared" si="42"/>
        <v>283162.50000000006</v>
      </c>
      <c r="G1124" s="30">
        <f t="shared" si="42"/>
        <v>188775.00000000006</v>
      </c>
      <c r="H1124" s="30">
        <f t="shared" si="42"/>
        <v>94387.500000000029</v>
      </c>
    </row>
    <row r="1125" spans="2:8">
      <c r="B1125" s="152">
        <f t="shared" si="39"/>
        <v>0</v>
      </c>
      <c r="D1125" s="30">
        <f t="shared" si="42"/>
        <v>0</v>
      </c>
      <c r="E1125" s="30">
        <f t="shared" si="42"/>
        <v>0</v>
      </c>
      <c r="F1125" s="30">
        <f t="shared" si="42"/>
        <v>405000</v>
      </c>
      <c r="G1125" s="30">
        <f t="shared" si="42"/>
        <v>303750</v>
      </c>
      <c r="H1125" s="30">
        <f t="shared" si="42"/>
        <v>202500</v>
      </c>
    </row>
    <row r="1126" spans="2:8">
      <c r="B1126" s="152">
        <f t="shared" si="39"/>
        <v>0</v>
      </c>
      <c r="D1126" s="30">
        <f t="shared" si="42"/>
        <v>0</v>
      </c>
      <c r="E1126" s="30">
        <f t="shared" si="42"/>
        <v>0</v>
      </c>
      <c r="F1126" s="30">
        <f t="shared" si="42"/>
        <v>0</v>
      </c>
      <c r="G1126" s="30">
        <f t="shared" si="42"/>
        <v>405000</v>
      </c>
      <c r="H1126" s="30">
        <f t="shared" si="42"/>
        <v>303750</v>
      </c>
    </row>
    <row r="1127" spans="2:8">
      <c r="B1127" s="152">
        <f t="shared" si="39"/>
        <v>0</v>
      </c>
      <c r="D1127" s="30">
        <f t="shared" si="42"/>
        <v>0</v>
      </c>
      <c r="E1127" s="30">
        <f t="shared" si="42"/>
        <v>0</v>
      </c>
      <c r="F1127" s="30">
        <f t="shared" si="42"/>
        <v>0</v>
      </c>
      <c r="G1127" s="30">
        <f t="shared" si="42"/>
        <v>0</v>
      </c>
      <c r="H1127" s="30">
        <f t="shared" si="42"/>
        <v>405000</v>
      </c>
    </row>
    <row r="1128" spans="2:8">
      <c r="B1128" s="152">
        <f t="shared" si="39"/>
        <v>0</v>
      </c>
      <c r="D1128" s="30">
        <f t="shared" si="42"/>
        <v>445511.43</v>
      </c>
      <c r="E1128" s="30">
        <f t="shared" si="42"/>
        <v>334133.57250000001</v>
      </c>
      <c r="F1128" s="30">
        <f t="shared" si="42"/>
        <v>222755.71500000003</v>
      </c>
      <c r="G1128" s="30">
        <f t="shared" si="42"/>
        <v>111377.85750000001</v>
      </c>
      <c r="H1128" s="30">
        <f t="shared" si="42"/>
        <v>0</v>
      </c>
    </row>
    <row r="1129" spans="2:8">
      <c r="B1129" s="152">
        <f t="shared" si="39"/>
        <v>0</v>
      </c>
      <c r="D1129" s="30">
        <f t="shared" si="42"/>
        <v>0</v>
      </c>
      <c r="E1129" s="30">
        <f t="shared" si="42"/>
        <v>532262.5</v>
      </c>
      <c r="F1129" s="30">
        <f t="shared" si="42"/>
        <v>518614.74358974356</v>
      </c>
      <c r="G1129" s="30">
        <f t="shared" si="42"/>
        <v>504966.98717948713</v>
      </c>
      <c r="H1129" s="30">
        <f t="shared" si="42"/>
        <v>491319.23076923069</v>
      </c>
    </row>
    <row r="1130" spans="2:8">
      <c r="B1130" s="152">
        <f t="shared" si="39"/>
        <v>0</v>
      </c>
      <c r="D1130" s="30">
        <f t="shared" si="42"/>
        <v>0</v>
      </c>
      <c r="E1130" s="30">
        <f t="shared" si="42"/>
        <v>37656.6535</v>
      </c>
      <c r="F1130" s="30">
        <f t="shared" si="42"/>
        <v>36691.09828205128</v>
      </c>
      <c r="G1130" s="30">
        <f t="shared" si="42"/>
        <v>35725.54306410256</v>
      </c>
      <c r="H1130" s="30">
        <f t="shared" si="42"/>
        <v>34759.987846153839</v>
      </c>
    </row>
    <row r="1131" spans="2:8">
      <c r="B1131" s="152">
        <f t="shared" si="39"/>
        <v>0</v>
      </c>
      <c r="D1131" s="30">
        <f t="shared" si="42"/>
        <v>0</v>
      </c>
      <c r="E1131" s="30">
        <f t="shared" si="42"/>
        <v>421638.8</v>
      </c>
      <c r="F1131" s="30">
        <f t="shared" si="42"/>
        <v>410827.54871794872</v>
      </c>
      <c r="G1131" s="30">
        <f t="shared" si="42"/>
        <v>400016.29743589746</v>
      </c>
      <c r="H1131" s="30">
        <f t="shared" si="42"/>
        <v>389205.0461538462</v>
      </c>
    </row>
    <row r="1132" spans="2:8">
      <c r="B1132" s="152">
        <f t="shared" si="39"/>
        <v>0</v>
      </c>
      <c r="D1132" s="30">
        <f t="shared" si="42"/>
        <v>0</v>
      </c>
      <c r="E1132" s="30">
        <f t="shared" si="42"/>
        <v>1247889.925</v>
      </c>
      <c r="F1132" s="30">
        <f t="shared" si="42"/>
        <v>1215892.7474358976</v>
      </c>
      <c r="G1132" s="30">
        <f t="shared" si="42"/>
        <v>1183895.5698717951</v>
      </c>
      <c r="H1132" s="30">
        <f t="shared" si="42"/>
        <v>1151898.3923076927</v>
      </c>
    </row>
    <row r="1133" spans="2:8">
      <c r="B1133" s="152">
        <f t="shared" si="39"/>
        <v>0</v>
      </c>
      <c r="D1133" s="30">
        <f t="shared" si="42"/>
        <v>0</v>
      </c>
      <c r="E1133" s="30">
        <f t="shared" si="42"/>
        <v>512710</v>
      </c>
      <c r="F1133" s="30">
        <f t="shared" si="42"/>
        <v>499563.58974358975</v>
      </c>
      <c r="G1133" s="30">
        <f t="shared" si="42"/>
        <v>486417.1794871795</v>
      </c>
      <c r="H1133" s="30">
        <f t="shared" si="42"/>
        <v>473270.76923076925</v>
      </c>
    </row>
    <row r="1134" spans="2:8">
      <c r="B1134" s="152">
        <f t="shared" si="39"/>
        <v>0</v>
      </c>
      <c r="D1134" s="30">
        <f t="shared" si="42"/>
        <v>0</v>
      </c>
      <c r="E1134" s="30">
        <f t="shared" si="42"/>
        <v>320443.75</v>
      </c>
      <c r="F1134" s="30">
        <f t="shared" si="42"/>
        <v>312227.24358974356</v>
      </c>
      <c r="G1134" s="30">
        <f t="shared" si="42"/>
        <v>304010.73717948713</v>
      </c>
      <c r="H1134" s="30">
        <f t="shared" si="42"/>
        <v>295794.23076923069</v>
      </c>
    </row>
    <row r="1135" spans="2:8">
      <c r="B1135" s="152">
        <f t="shared" si="39"/>
        <v>0</v>
      </c>
      <c r="D1135" s="30">
        <f t="shared" si="42"/>
        <v>62043.707999999984</v>
      </c>
      <c r="E1135" s="30">
        <f t="shared" si="42"/>
        <v>61258.344607594918</v>
      </c>
      <c r="F1135" s="30">
        <f t="shared" si="42"/>
        <v>60472.981215189851</v>
      </c>
      <c r="G1135" s="30">
        <f t="shared" si="42"/>
        <v>59687.617822784785</v>
      </c>
      <c r="H1135" s="30">
        <f t="shared" si="42"/>
        <v>58902.254430379719</v>
      </c>
    </row>
    <row r="1136" spans="2:8">
      <c r="B1136" s="152">
        <f t="shared" si="39"/>
        <v>0</v>
      </c>
      <c r="D1136" s="30">
        <f t="shared" ref="D1136:H1151" si="43">D301+D468+D802+D969+D635</f>
        <v>0</v>
      </c>
      <c r="E1136" s="30">
        <f t="shared" si="43"/>
        <v>252000</v>
      </c>
      <c r="F1136" s="30">
        <f t="shared" si="43"/>
        <v>189000</v>
      </c>
      <c r="G1136" s="30">
        <f t="shared" si="43"/>
        <v>126000</v>
      </c>
      <c r="H1136" s="30">
        <f t="shared" si="43"/>
        <v>63000</v>
      </c>
    </row>
    <row r="1137" spans="2:8">
      <c r="B1137" s="152">
        <f t="shared" si="39"/>
        <v>0</v>
      </c>
      <c r="D1137" s="30">
        <f t="shared" si="43"/>
        <v>33853.1895</v>
      </c>
      <c r="E1137" s="30">
        <f t="shared" si="43"/>
        <v>32071.442684210528</v>
      </c>
      <c r="F1137" s="30">
        <f t="shared" si="43"/>
        <v>30289.695868421055</v>
      </c>
      <c r="G1137" s="30">
        <f t="shared" si="43"/>
        <v>28507.949052631582</v>
      </c>
      <c r="H1137" s="30">
        <f t="shared" si="43"/>
        <v>26726.202236842109</v>
      </c>
    </row>
    <row r="1138" spans="2:8">
      <c r="B1138" s="152">
        <f t="shared" si="39"/>
        <v>0</v>
      </c>
      <c r="D1138" s="30">
        <f t="shared" si="43"/>
        <v>4904.9413125000001</v>
      </c>
      <c r="E1138" s="30">
        <f t="shared" si="43"/>
        <v>4842.8534477848107</v>
      </c>
      <c r="F1138" s="30">
        <f t="shared" si="43"/>
        <v>4780.7655830696203</v>
      </c>
      <c r="G1138" s="30">
        <f t="shared" si="43"/>
        <v>4718.6777183544309</v>
      </c>
      <c r="H1138" s="30">
        <f t="shared" si="43"/>
        <v>4656.5898536392415</v>
      </c>
    </row>
    <row r="1139" spans="2:8">
      <c r="B1139" s="152">
        <f t="shared" si="39"/>
        <v>0</v>
      </c>
      <c r="D1139" s="30">
        <f t="shared" si="43"/>
        <v>99662.637625000018</v>
      </c>
      <c r="E1139" s="30">
        <f t="shared" si="43"/>
        <v>97107.185378205148</v>
      </c>
      <c r="F1139" s="30">
        <f t="shared" si="43"/>
        <v>94551.733131410278</v>
      </c>
      <c r="G1139" s="30">
        <f t="shared" si="43"/>
        <v>91996.280884615408</v>
      </c>
      <c r="H1139" s="30">
        <f t="shared" si="43"/>
        <v>89440.828637820538</v>
      </c>
    </row>
    <row r="1140" spans="2:8">
      <c r="B1140" s="152">
        <f t="shared" si="39"/>
        <v>0</v>
      </c>
      <c r="D1140" s="30">
        <f t="shared" si="43"/>
        <v>8359.6508333333331</v>
      </c>
      <c r="E1140" s="30">
        <f t="shared" si="43"/>
        <v>8217.9618361581925</v>
      </c>
      <c r="F1140" s="30">
        <f t="shared" si="43"/>
        <v>8076.2728389830509</v>
      </c>
      <c r="G1140" s="30">
        <f t="shared" si="43"/>
        <v>7934.5838418079093</v>
      </c>
      <c r="H1140" s="30">
        <f t="shared" si="43"/>
        <v>7792.8948446327677</v>
      </c>
    </row>
    <row r="1141" spans="2:8">
      <c r="B1141" s="152">
        <f t="shared" si="39"/>
        <v>0</v>
      </c>
      <c r="D1141" s="30">
        <f t="shared" si="43"/>
        <v>34720.035000000011</v>
      </c>
      <c r="E1141" s="30">
        <f t="shared" si="43"/>
        <v>34131.559830508486</v>
      </c>
      <c r="F1141" s="30">
        <f t="shared" si="43"/>
        <v>33543.084661016961</v>
      </c>
      <c r="G1141" s="30">
        <f t="shared" si="43"/>
        <v>32954.609491525436</v>
      </c>
      <c r="H1141" s="30">
        <f t="shared" si="43"/>
        <v>32366.134322033911</v>
      </c>
    </row>
    <row r="1142" spans="2:8">
      <c r="B1142" s="152">
        <f t="shared" si="39"/>
        <v>0</v>
      </c>
      <c r="D1142" s="30">
        <f t="shared" si="43"/>
        <v>0</v>
      </c>
      <c r="E1142" s="30">
        <f t="shared" si="43"/>
        <v>54541.666666666664</v>
      </c>
      <c r="F1142" s="30">
        <f t="shared" si="43"/>
        <v>53617.231638418074</v>
      </c>
      <c r="G1142" s="30">
        <f t="shared" si="43"/>
        <v>52692.796610169484</v>
      </c>
      <c r="H1142" s="30">
        <f t="shared" si="43"/>
        <v>51768.361581920894</v>
      </c>
    </row>
    <row r="1143" spans="2:8">
      <c r="B1143" s="152">
        <f t="shared" si="39"/>
        <v>0</v>
      </c>
      <c r="D1143" s="30">
        <f t="shared" si="43"/>
        <v>0</v>
      </c>
      <c r="E1143" s="30">
        <f t="shared" si="43"/>
        <v>0</v>
      </c>
      <c r="F1143" s="30">
        <f t="shared" si="43"/>
        <v>19833.333333333332</v>
      </c>
      <c r="G1143" s="30">
        <f t="shared" si="43"/>
        <v>19497.175141242937</v>
      </c>
      <c r="H1143" s="30">
        <f t="shared" si="43"/>
        <v>19161.016949152541</v>
      </c>
    </row>
    <row r="1144" spans="2:8">
      <c r="B1144" s="152">
        <f t="shared" si="39"/>
        <v>0</v>
      </c>
      <c r="D1144" s="30">
        <f t="shared" si="43"/>
        <v>0</v>
      </c>
      <c r="E1144" s="30">
        <f t="shared" si="43"/>
        <v>0</v>
      </c>
      <c r="F1144" s="30">
        <f t="shared" si="43"/>
        <v>0</v>
      </c>
      <c r="G1144" s="30">
        <f t="shared" si="43"/>
        <v>19833.333333333332</v>
      </c>
      <c r="H1144" s="30">
        <f t="shared" si="43"/>
        <v>19497.175141242937</v>
      </c>
    </row>
    <row r="1145" spans="2:8">
      <c r="B1145" s="152">
        <f t="shared" si="39"/>
        <v>0</v>
      </c>
      <c r="D1145" s="30">
        <f t="shared" si="43"/>
        <v>0</v>
      </c>
      <c r="E1145" s="30">
        <f t="shared" si="43"/>
        <v>0</v>
      </c>
      <c r="F1145" s="30">
        <f t="shared" si="43"/>
        <v>0</v>
      </c>
      <c r="G1145" s="30">
        <f t="shared" si="43"/>
        <v>0</v>
      </c>
      <c r="H1145" s="30">
        <f t="shared" si="43"/>
        <v>19833.333333333332</v>
      </c>
    </row>
    <row r="1146" spans="2:8">
      <c r="B1146" s="152">
        <f t="shared" si="39"/>
        <v>0</v>
      </c>
      <c r="D1146" s="30">
        <f t="shared" si="43"/>
        <v>33997.324124999992</v>
      </c>
      <c r="E1146" s="30">
        <f t="shared" si="43"/>
        <v>33125.59786538461</v>
      </c>
      <c r="F1146" s="30">
        <f t="shared" si="43"/>
        <v>32253.871605769225</v>
      </c>
      <c r="G1146" s="30">
        <f t="shared" si="43"/>
        <v>31382.14534615384</v>
      </c>
      <c r="H1146" s="30">
        <f t="shared" si="43"/>
        <v>30510.419086538455</v>
      </c>
    </row>
    <row r="1147" spans="2:8">
      <c r="B1147" s="152">
        <f t="shared" si="39"/>
        <v>0</v>
      </c>
      <c r="D1147" s="30">
        <f t="shared" si="43"/>
        <v>1133295.4190833336</v>
      </c>
      <c r="E1147" s="30">
        <f t="shared" si="43"/>
        <v>1114087.0221497177</v>
      </c>
      <c r="F1147" s="30">
        <f t="shared" si="43"/>
        <v>1094878.6252161018</v>
      </c>
      <c r="G1147" s="30">
        <f t="shared" si="43"/>
        <v>1075670.2282824859</v>
      </c>
      <c r="H1147" s="30">
        <f t="shared" si="43"/>
        <v>1056461.8313488699</v>
      </c>
    </row>
    <row r="1148" spans="2:8">
      <c r="B1148" s="152">
        <f t="shared" si="39"/>
        <v>0</v>
      </c>
      <c r="D1148" s="30">
        <f t="shared" si="43"/>
        <v>0</v>
      </c>
      <c r="E1148" s="30">
        <f t="shared" si="43"/>
        <v>20286.525000000001</v>
      </c>
      <c r="F1148" s="30">
        <f t="shared" si="43"/>
        <v>19942.68559322034</v>
      </c>
      <c r="G1148" s="30">
        <f t="shared" si="43"/>
        <v>19598.846186440678</v>
      </c>
      <c r="H1148" s="30">
        <f t="shared" si="43"/>
        <v>19255.006779661016</v>
      </c>
    </row>
    <row r="1149" spans="2:8">
      <c r="B1149" s="152">
        <f t="shared" si="39"/>
        <v>0</v>
      </c>
      <c r="D1149" s="30">
        <f t="shared" si="43"/>
        <v>116639.48400000001</v>
      </c>
      <c r="E1149" s="30">
        <f t="shared" si="43"/>
        <v>110500.5637894737</v>
      </c>
      <c r="F1149" s="30">
        <f t="shared" si="43"/>
        <v>104361.64357894739</v>
      </c>
      <c r="G1149" s="30">
        <f t="shared" si="43"/>
        <v>98222.723368421081</v>
      </c>
      <c r="H1149" s="30">
        <f t="shared" si="43"/>
        <v>92083.803157894756</v>
      </c>
    </row>
    <row r="1150" spans="2:8">
      <c r="B1150" s="152">
        <f t="shared" si="39"/>
        <v>0</v>
      </c>
      <c r="D1150" s="30">
        <f t="shared" si="43"/>
        <v>0</v>
      </c>
      <c r="E1150" s="30">
        <f t="shared" si="43"/>
        <v>38869.35</v>
      </c>
      <c r="F1150" s="30">
        <f t="shared" si="43"/>
        <v>36823.594736842104</v>
      </c>
      <c r="G1150" s="30">
        <f t="shared" si="43"/>
        <v>34777.839473684209</v>
      </c>
      <c r="H1150" s="30">
        <f t="shared" si="43"/>
        <v>32732.084210526315</v>
      </c>
    </row>
    <row r="1151" spans="2:8">
      <c r="B1151" s="152">
        <f t="shared" si="39"/>
        <v>0</v>
      </c>
      <c r="D1151" s="30">
        <f t="shared" si="43"/>
        <v>0</v>
      </c>
      <c r="E1151" s="30">
        <f t="shared" si="43"/>
        <v>0</v>
      </c>
      <c r="F1151" s="30">
        <f t="shared" si="43"/>
        <v>0</v>
      </c>
      <c r="G1151" s="30">
        <f t="shared" si="43"/>
        <v>0</v>
      </c>
      <c r="H1151" s="30">
        <f t="shared" si="43"/>
        <v>0</v>
      </c>
    </row>
    <row r="1152" spans="2:8">
      <c r="B1152" s="152">
        <f t="shared" ref="B1152:B1185" si="44">B985</f>
        <v>0</v>
      </c>
      <c r="D1152" s="30">
        <f t="shared" ref="D1152:H1167" si="45">D317+D484+D818+D985+D651</f>
        <v>120630.59775</v>
      </c>
      <c r="E1152" s="30">
        <f t="shared" si="45"/>
        <v>114281.61892105264</v>
      </c>
      <c r="F1152" s="30">
        <f t="shared" si="45"/>
        <v>107932.64009210527</v>
      </c>
      <c r="G1152" s="30">
        <f t="shared" si="45"/>
        <v>101583.6612631579</v>
      </c>
      <c r="H1152" s="30">
        <f t="shared" si="45"/>
        <v>95234.682434210539</v>
      </c>
    </row>
    <row r="1153" spans="2:8">
      <c r="B1153" s="152">
        <f t="shared" si="44"/>
        <v>0</v>
      </c>
      <c r="D1153" s="30">
        <f t="shared" si="45"/>
        <v>0</v>
      </c>
      <c r="E1153" s="30">
        <f t="shared" si="45"/>
        <v>920997.03149999992</v>
      </c>
      <c r="F1153" s="30">
        <f t="shared" si="45"/>
        <v>872523.50352631568</v>
      </c>
      <c r="G1153" s="30">
        <f t="shared" si="45"/>
        <v>824049.97555263143</v>
      </c>
      <c r="H1153" s="30">
        <f t="shared" si="45"/>
        <v>775576.44757894718</v>
      </c>
    </row>
    <row r="1154" spans="2:8">
      <c r="B1154" s="152">
        <f t="shared" si="44"/>
        <v>0</v>
      </c>
      <c r="D1154" s="30">
        <f t="shared" si="45"/>
        <v>0</v>
      </c>
      <c r="E1154" s="30">
        <f t="shared" si="45"/>
        <v>0</v>
      </c>
      <c r="F1154" s="30">
        <f t="shared" si="45"/>
        <v>36752.625</v>
      </c>
      <c r="G1154" s="30">
        <f t="shared" si="45"/>
        <v>34818.276315789473</v>
      </c>
      <c r="H1154" s="30">
        <f t="shared" si="45"/>
        <v>32883.927631578947</v>
      </c>
    </row>
    <row r="1155" spans="2:8">
      <c r="B1155" s="152">
        <f t="shared" si="44"/>
        <v>0</v>
      </c>
      <c r="D1155" s="30">
        <f t="shared" si="45"/>
        <v>40229.156437500002</v>
      </c>
      <c r="E1155" s="30">
        <f t="shared" si="45"/>
        <v>39719.926609177215</v>
      </c>
      <c r="F1155" s="30">
        <f t="shared" si="45"/>
        <v>39210.696780854429</v>
      </c>
      <c r="G1155" s="30">
        <f t="shared" si="45"/>
        <v>38701.466952531642</v>
      </c>
      <c r="H1155" s="30">
        <f t="shared" si="45"/>
        <v>38192.237124208856</v>
      </c>
    </row>
    <row r="1156" spans="2:8">
      <c r="B1156" s="152">
        <f t="shared" si="44"/>
        <v>0</v>
      </c>
      <c r="D1156" s="30">
        <f t="shared" si="45"/>
        <v>100342.99275</v>
      </c>
      <c r="E1156" s="30">
        <f t="shared" si="45"/>
        <v>95061.782605263157</v>
      </c>
      <c r="F1156" s="30">
        <f t="shared" si="45"/>
        <v>89780.572460526309</v>
      </c>
      <c r="G1156" s="30">
        <f t="shared" si="45"/>
        <v>84499.362315789462</v>
      </c>
      <c r="H1156" s="30">
        <f t="shared" si="45"/>
        <v>79218.152171052614</v>
      </c>
    </row>
    <row r="1157" spans="2:8">
      <c r="B1157" s="152">
        <f t="shared" si="44"/>
        <v>0</v>
      </c>
      <c r="D1157" s="30">
        <f t="shared" si="45"/>
        <v>795897.76349999954</v>
      </c>
      <c r="E1157" s="30">
        <f t="shared" si="45"/>
        <v>782407.9708983046</v>
      </c>
      <c r="F1157" s="30">
        <f t="shared" si="45"/>
        <v>768918.17829660967</v>
      </c>
      <c r="G1157" s="30">
        <f t="shared" si="45"/>
        <v>755428.38569491473</v>
      </c>
      <c r="H1157" s="30">
        <f t="shared" si="45"/>
        <v>741938.5930932198</v>
      </c>
    </row>
    <row r="1158" spans="2:8">
      <c r="B1158" s="152">
        <f t="shared" si="44"/>
        <v>0</v>
      </c>
      <c r="D1158" s="30">
        <f t="shared" si="45"/>
        <v>0</v>
      </c>
      <c r="E1158" s="30">
        <f t="shared" si="45"/>
        <v>1196535.7378333332</v>
      </c>
      <c r="F1158" s="30">
        <f t="shared" si="45"/>
        <v>1176255.4710903952</v>
      </c>
      <c r="G1158" s="30">
        <f t="shared" si="45"/>
        <v>1155975.2043474573</v>
      </c>
      <c r="H1158" s="30">
        <f t="shared" si="45"/>
        <v>1135694.9376045195</v>
      </c>
    </row>
    <row r="1159" spans="2:8">
      <c r="B1159" s="152">
        <f t="shared" si="44"/>
        <v>0</v>
      </c>
      <c r="D1159" s="30">
        <f t="shared" si="45"/>
        <v>0</v>
      </c>
      <c r="E1159" s="30">
        <f t="shared" si="45"/>
        <v>0</v>
      </c>
      <c r="F1159" s="30">
        <f t="shared" si="45"/>
        <v>612764.71666666667</v>
      </c>
      <c r="G1159" s="30">
        <f t="shared" si="45"/>
        <v>602378.87401129946</v>
      </c>
      <c r="H1159" s="30">
        <f t="shared" si="45"/>
        <v>591993.03135593224</v>
      </c>
    </row>
    <row r="1160" spans="2:8">
      <c r="B1160" s="152">
        <f t="shared" si="44"/>
        <v>0</v>
      </c>
      <c r="D1160" s="30">
        <f t="shared" si="45"/>
        <v>10418.112833333333</v>
      </c>
      <c r="E1160" s="30">
        <f t="shared" si="45"/>
        <v>10241.534649717514</v>
      </c>
      <c r="F1160" s="30">
        <f t="shared" si="45"/>
        <v>10064.956466101696</v>
      </c>
      <c r="G1160" s="30">
        <f t="shared" si="45"/>
        <v>9888.3782824858772</v>
      </c>
      <c r="H1160" s="30">
        <f t="shared" si="45"/>
        <v>9711.8000988700587</v>
      </c>
    </row>
    <row r="1161" spans="2:8">
      <c r="B1161" s="152">
        <f t="shared" si="44"/>
        <v>0</v>
      </c>
      <c r="D1161" s="30">
        <f t="shared" si="45"/>
        <v>0</v>
      </c>
      <c r="E1161" s="30">
        <f t="shared" si="45"/>
        <v>223542.49166666667</v>
      </c>
      <c r="F1161" s="30">
        <f t="shared" si="45"/>
        <v>219753.63587570621</v>
      </c>
      <c r="G1161" s="30">
        <f t="shared" si="45"/>
        <v>215964.78008474575</v>
      </c>
      <c r="H1161" s="30">
        <f t="shared" si="45"/>
        <v>212175.9242937853</v>
      </c>
    </row>
    <row r="1162" spans="2:8">
      <c r="B1162" s="152">
        <f t="shared" si="44"/>
        <v>0</v>
      </c>
      <c r="D1162" s="30">
        <f t="shared" si="45"/>
        <v>0</v>
      </c>
      <c r="E1162" s="30">
        <f t="shared" si="45"/>
        <v>563728.64681249997</v>
      </c>
      <c r="F1162" s="30">
        <f t="shared" si="45"/>
        <v>556592.84115664556</v>
      </c>
      <c r="G1162" s="30">
        <f t="shared" si="45"/>
        <v>549457.03550079116</v>
      </c>
      <c r="H1162" s="30">
        <f t="shared" si="45"/>
        <v>542321.22984493675</v>
      </c>
    </row>
    <row r="1163" spans="2:8">
      <c r="B1163" s="152">
        <f t="shared" si="44"/>
        <v>0</v>
      </c>
      <c r="D1163" s="30">
        <f t="shared" si="45"/>
        <v>0</v>
      </c>
      <c r="E1163" s="30">
        <f t="shared" si="45"/>
        <v>0</v>
      </c>
      <c r="F1163" s="30">
        <f t="shared" si="45"/>
        <v>5282611.03125</v>
      </c>
      <c r="G1163" s="30">
        <f t="shared" si="45"/>
        <v>5215742.5371835446</v>
      </c>
      <c r="H1163" s="30">
        <f t="shared" si="45"/>
        <v>5148874.0431170892</v>
      </c>
    </row>
    <row r="1164" spans="2:8">
      <c r="B1164" s="152">
        <f t="shared" si="44"/>
        <v>0</v>
      </c>
      <c r="D1164" s="30">
        <f t="shared" si="45"/>
        <v>0</v>
      </c>
      <c r="E1164" s="30">
        <f t="shared" si="45"/>
        <v>0</v>
      </c>
      <c r="F1164" s="30">
        <f t="shared" si="45"/>
        <v>0</v>
      </c>
      <c r="G1164" s="30">
        <f t="shared" si="45"/>
        <v>12725689.21875</v>
      </c>
      <c r="H1164" s="30">
        <f t="shared" si="45"/>
        <v>12564604.545094937</v>
      </c>
    </row>
    <row r="1165" spans="2:8">
      <c r="B1165" s="152">
        <f t="shared" si="44"/>
        <v>0</v>
      </c>
      <c r="D1165" s="30">
        <f t="shared" si="45"/>
        <v>0</v>
      </c>
      <c r="E1165" s="30">
        <f t="shared" si="45"/>
        <v>64125</v>
      </c>
      <c r="F1165" s="30">
        <f t="shared" si="45"/>
        <v>57000</v>
      </c>
      <c r="G1165" s="30">
        <f t="shared" si="45"/>
        <v>49875</v>
      </c>
      <c r="H1165" s="30">
        <f t="shared" si="45"/>
        <v>42750</v>
      </c>
    </row>
    <row r="1166" spans="2:8">
      <c r="B1166" s="152">
        <f t="shared" si="44"/>
        <v>0</v>
      </c>
      <c r="D1166" s="30">
        <f t="shared" si="45"/>
        <v>0</v>
      </c>
      <c r="E1166" s="30">
        <f t="shared" si="45"/>
        <v>748853.34375</v>
      </c>
      <c r="F1166" s="30">
        <f t="shared" si="45"/>
        <v>729651.9759615385</v>
      </c>
      <c r="G1166" s="30">
        <f t="shared" si="45"/>
        <v>710450.60817307699</v>
      </c>
      <c r="H1166" s="30">
        <f t="shared" si="45"/>
        <v>691249.24038461549</v>
      </c>
    </row>
    <row r="1167" spans="2:8">
      <c r="B1167" s="152" t="str">
        <f t="shared" si="44"/>
        <v>Carndo Year 4 Reduction</v>
      </c>
      <c r="D1167" s="30">
        <f t="shared" si="45"/>
        <v>0</v>
      </c>
      <c r="E1167" s="30">
        <f t="shared" si="45"/>
        <v>0</v>
      </c>
      <c r="F1167" s="30">
        <f t="shared" si="45"/>
        <v>0</v>
      </c>
      <c r="G1167" s="30">
        <f t="shared" si="45"/>
        <v>-7796073.2016507406</v>
      </c>
      <c r="H1167" s="30">
        <f t="shared" si="45"/>
        <v>-7545953.2876172801</v>
      </c>
    </row>
    <row r="1168" spans="2:8">
      <c r="B1168" s="152" t="str">
        <f t="shared" si="44"/>
        <v>Carndo Year 5 Reduction</v>
      </c>
      <c r="D1168" s="30">
        <f t="shared" ref="D1168:H1183" si="46">D333+D500+D834+D1001+D667</f>
        <v>0</v>
      </c>
      <c r="E1168" s="30">
        <f t="shared" si="46"/>
        <v>0</v>
      </c>
      <c r="F1168" s="30">
        <f t="shared" si="46"/>
        <v>0</v>
      </c>
      <c r="G1168" s="30">
        <f t="shared" si="46"/>
        <v>0</v>
      </c>
      <c r="H1168" s="30">
        <f t="shared" si="46"/>
        <v>-6148667.3297850331</v>
      </c>
    </row>
    <row r="1169" spans="2:8">
      <c r="B1169" s="152">
        <f t="shared" si="44"/>
        <v>0</v>
      </c>
      <c r="D1169" s="30">
        <f t="shared" si="46"/>
        <v>0</v>
      </c>
      <c r="E1169" s="30">
        <f t="shared" si="46"/>
        <v>0</v>
      </c>
      <c r="F1169" s="30">
        <f t="shared" si="46"/>
        <v>0</v>
      </c>
      <c r="G1169" s="30">
        <f t="shared" si="46"/>
        <v>0</v>
      </c>
      <c r="H1169" s="30">
        <f t="shared" si="46"/>
        <v>0</v>
      </c>
    </row>
    <row r="1170" spans="2:8">
      <c r="B1170" s="152">
        <f t="shared" si="44"/>
        <v>0</v>
      </c>
      <c r="D1170" s="30">
        <f t="shared" si="46"/>
        <v>0</v>
      </c>
      <c r="E1170" s="30">
        <f t="shared" si="46"/>
        <v>0</v>
      </c>
      <c r="F1170" s="30">
        <f t="shared" si="46"/>
        <v>0</v>
      </c>
      <c r="G1170" s="30">
        <f t="shared" si="46"/>
        <v>0</v>
      </c>
      <c r="H1170" s="30">
        <f t="shared" si="46"/>
        <v>0</v>
      </c>
    </row>
    <row r="1171" spans="2:8">
      <c r="B1171" s="152">
        <f t="shared" si="44"/>
        <v>0</v>
      </c>
      <c r="D1171" s="30">
        <f t="shared" si="46"/>
        <v>0</v>
      </c>
      <c r="E1171" s="30">
        <f t="shared" si="46"/>
        <v>0</v>
      </c>
      <c r="F1171" s="30">
        <f t="shared" si="46"/>
        <v>0</v>
      </c>
      <c r="G1171" s="30">
        <f t="shared" si="46"/>
        <v>0</v>
      </c>
      <c r="H1171" s="30">
        <f t="shared" si="46"/>
        <v>0</v>
      </c>
    </row>
    <row r="1172" spans="2:8">
      <c r="B1172" s="152">
        <f t="shared" si="44"/>
        <v>0</v>
      </c>
      <c r="D1172" s="30">
        <f t="shared" si="46"/>
        <v>0</v>
      </c>
      <c r="E1172" s="30">
        <f t="shared" si="46"/>
        <v>0</v>
      </c>
      <c r="F1172" s="30">
        <f t="shared" si="46"/>
        <v>0</v>
      </c>
      <c r="G1172" s="30">
        <f t="shared" si="46"/>
        <v>0</v>
      </c>
      <c r="H1172" s="30">
        <f t="shared" si="46"/>
        <v>0</v>
      </c>
    </row>
    <row r="1173" spans="2:8">
      <c r="B1173" s="152">
        <f t="shared" si="44"/>
        <v>0</v>
      </c>
      <c r="D1173" s="30">
        <f t="shared" si="46"/>
        <v>0</v>
      </c>
      <c r="E1173" s="30">
        <f t="shared" si="46"/>
        <v>0</v>
      </c>
      <c r="F1173" s="30">
        <f t="shared" si="46"/>
        <v>0</v>
      </c>
      <c r="G1173" s="30">
        <f t="shared" si="46"/>
        <v>0</v>
      </c>
      <c r="H1173" s="30">
        <f t="shared" si="46"/>
        <v>0</v>
      </c>
    </row>
    <row r="1174" spans="2:8">
      <c r="B1174" s="152">
        <f t="shared" si="44"/>
        <v>0</v>
      </c>
      <c r="D1174" s="30">
        <f t="shared" si="46"/>
        <v>0</v>
      </c>
      <c r="E1174" s="30">
        <f t="shared" si="46"/>
        <v>0</v>
      </c>
      <c r="F1174" s="30">
        <f t="shared" si="46"/>
        <v>0</v>
      </c>
      <c r="G1174" s="30">
        <f t="shared" si="46"/>
        <v>0</v>
      </c>
      <c r="H1174" s="30">
        <f t="shared" si="46"/>
        <v>0</v>
      </c>
    </row>
    <row r="1175" spans="2:8">
      <c r="B1175" s="152">
        <f t="shared" si="44"/>
        <v>0</v>
      </c>
      <c r="D1175" s="30">
        <f t="shared" si="46"/>
        <v>0</v>
      </c>
      <c r="E1175" s="30">
        <f t="shared" si="46"/>
        <v>0</v>
      </c>
      <c r="F1175" s="30">
        <f t="shared" si="46"/>
        <v>0</v>
      </c>
      <c r="G1175" s="30">
        <f t="shared" si="46"/>
        <v>0</v>
      </c>
      <c r="H1175" s="30">
        <f t="shared" si="46"/>
        <v>0</v>
      </c>
    </row>
    <row r="1176" spans="2:8">
      <c r="B1176" s="152">
        <f t="shared" si="44"/>
        <v>0</v>
      </c>
      <c r="D1176" s="30">
        <f t="shared" si="46"/>
        <v>0</v>
      </c>
      <c r="E1176" s="30">
        <f t="shared" si="46"/>
        <v>0</v>
      </c>
      <c r="F1176" s="30">
        <f t="shared" si="46"/>
        <v>0</v>
      </c>
      <c r="G1176" s="30">
        <f t="shared" si="46"/>
        <v>0</v>
      </c>
      <c r="H1176" s="30">
        <f t="shared" si="46"/>
        <v>0</v>
      </c>
    </row>
    <row r="1177" spans="2:8">
      <c r="B1177" s="152">
        <f t="shared" si="44"/>
        <v>0</v>
      </c>
      <c r="D1177" s="30">
        <f t="shared" si="46"/>
        <v>0</v>
      </c>
      <c r="E1177" s="30">
        <f t="shared" si="46"/>
        <v>0</v>
      </c>
      <c r="F1177" s="30">
        <f t="shared" si="46"/>
        <v>0</v>
      </c>
      <c r="G1177" s="30">
        <f t="shared" si="46"/>
        <v>0</v>
      </c>
      <c r="H1177" s="30">
        <f t="shared" si="46"/>
        <v>0</v>
      </c>
    </row>
    <row r="1178" spans="2:8">
      <c r="B1178" s="152">
        <f t="shared" si="44"/>
        <v>0</v>
      </c>
      <c r="D1178" s="30">
        <f t="shared" si="46"/>
        <v>0</v>
      </c>
      <c r="E1178" s="30">
        <f t="shared" si="46"/>
        <v>0</v>
      </c>
      <c r="F1178" s="30">
        <f t="shared" si="46"/>
        <v>0</v>
      </c>
      <c r="G1178" s="30">
        <f t="shared" si="46"/>
        <v>0</v>
      </c>
      <c r="H1178" s="30">
        <f t="shared" si="46"/>
        <v>0</v>
      </c>
    </row>
    <row r="1179" spans="2:8">
      <c r="B1179" s="152">
        <f t="shared" si="44"/>
        <v>0</v>
      </c>
      <c r="D1179" s="30">
        <f t="shared" si="46"/>
        <v>0</v>
      </c>
      <c r="E1179" s="30">
        <f t="shared" si="46"/>
        <v>0</v>
      </c>
      <c r="F1179" s="30">
        <f t="shared" si="46"/>
        <v>0</v>
      </c>
      <c r="G1179" s="30">
        <f t="shared" si="46"/>
        <v>0</v>
      </c>
      <c r="H1179" s="30">
        <f t="shared" si="46"/>
        <v>0</v>
      </c>
    </row>
    <row r="1180" spans="2:8">
      <c r="B1180" s="152">
        <f t="shared" si="44"/>
        <v>0</v>
      </c>
      <c r="D1180" s="30">
        <f t="shared" si="46"/>
        <v>0</v>
      </c>
      <c r="E1180" s="30">
        <f t="shared" si="46"/>
        <v>0</v>
      </c>
      <c r="F1180" s="30">
        <f t="shared" si="46"/>
        <v>0</v>
      </c>
      <c r="G1180" s="30">
        <f t="shared" si="46"/>
        <v>0</v>
      </c>
      <c r="H1180" s="30">
        <f t="shared" si="46"/>
        <v>0</v>
      </c>
    </row>
    <row r="1181" spans="2:8">
      <c r="B1181" s="152">
        <f t="shared" si="44"/>
        <v>0</v>
      </c>
      <c r="D1181" s="30">
        <f t="shared" si="46"/>
        <v>0</v>
      </c>
      <c r="E1181" s="30">
        <f t="shared" si="46"/>
        <v>0</v>
      </c>
      <c r="F1181" s="30">
        <f t="shared" si="46"/>
        <v>0</v>
      </c>
      <c r="G1181" s="30">
        <f t="shared" si="46"/>
        <v>0</v>
      </c>
      <c r="H1181" s="30">
        <f t="shared" si="46"/>
        <v>0</v>
      </c>
    </row>
    <row r="1182" spans="2:8">
      <c r="B1182" s="152">
        <f t="shared" si="44"/>
        <v>0</v>
      </c>
      <c r="D1182" s="30">
        <f t="shared" si="46"/>
        <v>0</v>
      </c>
      <c r="E1182" s="30">
        <f t="shared" si="46"/>
        <v>0</v>
      </c>
      <c r="F1182" s="30">
        <f t="shared" si="46"/>
        <v>0</v>
      </c>
      <c r="G1182" s="30">
        <f t="shared" si="46"/>
        <v>0</v>
      </c>
      <c r="H1182" s="30">
        <f t="shared" si="46"/>
        <v>0</v>
      </c>
    </row>
    <row r="1183" spans="2:8">
      <c r="B1183" s="152">
        <f t="shared" si="44"/>
        <v>0</v>
      </c>
      <c r="D1183" s="30">
        <f t="shared" si="46"/>
        <v>0</v>
      </c>
      <c r="E1183" s="30">
        <f t="shared" si="46"/>
        <v>0</v>
      </c>
      <c r="F1183" s="30">
        <f t="shared" si="46"/>
        <v>0</v>
      </c>
      <c r="G1183" s="30">
        <f t="shared" si="46"/>
        <v>0</v>
      </c>
      <c r="H1183" s="30">
        <f t="shared" si="46"/>
        <v>0</v>
      </c>
    </row>
    <row r="1184" spans="2:8">
      <c r="B1184" s="152">
        <f t="shared" si="44"/>
        <v>0</v>
      </c>
      <c r="D1184" s="30">
        <f t="shared" ref="D1184:H1185" si="47">D349+D516+D850+D1017+D683</f>
        <v>0</v>
      </c>
      <c r="E1184" s="30">
        <f t="shared" si="47"/>
        <v>0</v>
      </c>
      <c r="F1184" s="30">
        <f t="shared" si="47"/>
        <v>0</v>
      </c>
      <c r="G1184" s="30">
        <f t="shared" si="47"/>
        <v>0</v>
      </c>
      <c r="H1184" s="30">
        <f t="shared" si="47"/>
        <v>0</v>
      </c>
    </row>
    <row r="1185" spans="2:8">
      <c r="B1185" s="152">
        <f t="shared" si="44"/>
        <v>0</v>
      </c>
      <c r="D1185" s="30">
        <f t="shared" si="47"/>
        <v>0</v>
      </c>
      <c r="E1185" s="30">
        <f t="shared" si="47"/>
        <v>0</v>
      </c>
      <c r="F1185" s="30">
        <f t="shared" si="47"/>
        <v>0</v>
      </c>
      <c r="G1185" s="30">
        <f t="shared" si="47"/>
        <v>0</v>
      </c>
      <c r="H1185" s="30">
        <f t="shared" si="47"/>
        <v>0</v>
      </c>
    </row>
    <row r="1186" spans="2:8" ht="15.75">
      <c r="B1186" s="151" t="s">
        <v>134</v>
      </c>
      <c r="D1186" s="157">
        <f>SUM(D1022:D1185)</f>
        <v>17782815.074312497</v>
      </c>
      <c r="E1186" s="157">
        <f>SUM(E1022:E1185)</f>
        <v>53652457.91253259</v>
      </c>
      <c r="F1186" s="157">
        <f>SUM(F1022:F1185)</f>
        <v>116246785.30471021</v>
      </c>
      <c r="G1186" s="157">
        <f>SUM(G1022:G1185)</f>
        <v>220508353.05029303</v>
      </c>
      <c r="H1186" s="157">
        <f>SUM(H1022:H1185)</f>
        <v>282233982.93150431</v>
      </c>
    </row>
  </sheetData>
  <pageMargins left="0" right="0" top="0" bottom="0" header="0" footer="0"/>
  <pageSetup paperSize="9" scale="75"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303880B7-0FC2-E746-86FA-64C29DBB735D}">
            <xm:f>'2. Notes and Assumptions'!$D$92="ERROR"</xm:f>
            <x14:dxf>
              <font>
                <color theme="0"/>
              </font>
              <fill>
                <patternFill patternType="solid">
                  <fgColor indexed="64"/>
                  <bgColor rgb="FFFF0000"/>
                </patternFill>
              </fill>
            </x14:dxf>
          </x14:cfRule>
          <x14:cfRule type="expression" priority="2" id="{9F136A62-5A55-BA41-9620-19075A621791}">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sheetPr codeName="Sheet4"/>
  <dimension ref="A1:I79"/>
  <sheetViews>
    <sheetView zoomScaleNormal="100" workbookViewId="0">
      <pane ySplit="4" topLeftCell="A5" activePane="bottomLeft" state="frozen"/>
      <selection activeCell="A58" sqref="A58"/>
      <selection pane="bottomLeft" activeCell="E59" sqref="E59"/>
    </sheetView>
  </sheetViews>
  <sheetFormatPr defaultColWidth="10.6640625" defaultRowHeight="15"/>
  <cols>
    <col min="1" max="1" width="31.109375" style="35" customWidth="1"/>
    <col min="2" max="2" width="64.88671875" style="2" customWidth="1"/>
    <col min="3" max="3" width="5" style="2" customWidth="1"/>
    <col min="4" max="4" width="11.5546875" style="2" customWidth="1"/>
    <col min="5" max="5" width="10.88671875" style="2" customWidth="1"/>
    <col min="6" max="6" width="11.77734375" style="2" customWidth="1"/>
    <col min="7" max="7" width="11.6640625" style="2" customWidth="1"/>
    <col min="8" max="8" width="11.109375" style="2" customWidth="1"/>
    <col min="9" max="9" width="11.6640625" style="2" customWidth="1"/>
    <col min="10" max="16384" width="10.6640625" style="2"/>
  </cols>
  <sheetData>
    <row r="1" spans="1:9" s="6" customFormat="1" ht="20.25" customHeight="1">
      <c r="A1" s="92" t="s">
        <v>115</v>
      </c>
      <c r="B1" s="92"/>
      <c r="C1" s="158"/>
      <c r="D1" s="92"/>
      <c r="E1" s="92"/>
      <c r="F1" s="92"/>
      <c r="G1" s="92"/>
      <c r="H1" s="92"/>
    </row>
    <row r="2" spans="1:9" ht="18" customHeight="1">
      <c r="A2" s="3" t="str">
        <f ca="1">MID(CELL("filename",A1),FIND("]",CELL("filename",A1))+1,LEN(CELL("filename",A1))-FIND("]",CELL("filename",A1)))</f>
        <v>24. Sewer - MAR</v>
      </c>
      <c r="B2" s="3"/>
      <c r="C2" s="159"/>
      <c r="D2" s="3"/>
      <c r="E2" s="3"/>
      <c r="F2" s="3"/>
      <c r="G2" s="3"/>
      <c r="H2" s="3"/>
    </row>
    <row r="3" spans="1:9" s="6" customFormat="1">
      <c r="A3" s="35"/>
      <c r="B3" s="63"/>
      <c r="C3" s="160"/>
      <c r="D3" s="16" t="s">
        <v>0</v>
      </c>
      <c r="E3" s="17">
        <v>1</v>
      </c>
      <c r="F3" s="17">
        <v>2</v>
      </c>
      <c r="G3" s="17">
        <v>3</v>
      </c>
      <c r="H3" s="17">
        <v>4</v>
      </c>
      <c r="I3" s="17">
        <v>5</v>
      </c>
    </row>
    <row r="4" spans="1:9" s="6" customFormat="1">
      <c r="A4" s="35"/>
      <c r="B4" s="65"/>
      <c r="C4" s="161"/>
      <c r="D4" s="18" t="s">
        <v>1</v>
      </c>
      <c r="E4" s="19" t="s">
        <v>10</v>
      </c>
      <c r="F4" s="19" t="s">
        <v>11</v>
      </c>
      <c r="G4" s="19" t="s">
        <v>2</v>
      </c>
      <c r="H4" s="19" t="s">
        <v>3</v>
      </c>
      <c r="I4" s="19" t="s">
        <v>4</v>
      </c>
    </row>
    <row r="5" spans="1:9" ht="15.75">
      <c r="B5" s="10" t="s">
        <v>19</v>
      </c>
      <c r="C5" s="5"/>
    </row>
    <row r="6" spans="1:9">
      <c r="B6" s="2" t="s">
        <v>20</v>
      </c>
      <c r="C6" s="5"/>
      <c r="E6" s="67">
        <f ca="1">'3. General Model Inputs'!E8</f>
        <v>2.5000000000000001E-2</v>
      </c>
      <c r="F6" s="67">
        <f ca="1">'3. General Model Inputs'!F8</f>
        <v>2.5000000000000001E-2</v>
      </c>
      <c r="G6" s="67">
        <f ca="1">'3. General Model Inputs'!G8</f>
        <v>2.5000000000000001E-2</v>
      </c>
      <c r="H6" s="67">
        <f ca="1">'3. General Model Inputs'!H8</f>
        <v>2.5000000000000001E-2</v>
      </c>
      <c r="I6" s="67">
        <f ca="1">'3. General Model Inputs'!I8</f>
        <v>2.5000000000000001E-2</v>
      </c>
    </row>
    <row r="7" spans="1:9">
      <c r="B7" s="2" t="s">
        <v>21</v>
      </c>
      <c r="C7" s="5"/>
      <c r="E7" s="67">
        <f ca="1">'3. General Model Inputs'!E9</f>
        <v>7.1999999999999995E-2</v>
      </c>
      <c r="F7" s="67">
        <f ca="1">'3. General Model Inputs'!F9</f>
        <v>7.1999999999999995E-2</v>
      </c>
      <c r="G7" s="67">
        <f ca="1">'3. General Model Inputs'!G9</f>
        <v>7.1999999999999995E-2</v>
      </c>
      <c r="H7" s="67">
        <f ca="1">'3. General Model Inputs'!H9</f>
        <v>7.1999999999999995E-2</v>
      </c>
      <c r="I7" s="67">
        <f ca="1">'3. General Model Inputs'!I9</f>
        <v>7.1999999999999995E-2</v>
      </c>
    </row>
    <row r="8" spans="1:9">
      <c r="B8" s="2" t="s">
        <v>63</v>
      </c>
      <c r="C8" s="5"/>
      <c r="E8" s="71">
        <f ca="1">'3. General Model Inputs'!E11</f>
        <v>0.3</v>
      </c>
      <c r="F8" s="71">
        <f ca="1">'3. General Model Inputs'!F11</f>
        <v>0.3</v>
      </c>
      <c r="G8" s="71">
        <f ca="1">'3. General Model Inputs'!G11</f>
        <v>0.3</v>
      </c>
      <c r="H8" s="71">
        <f ca="1">'3. General Model Inputs'!H11</f>
        <v>0.3</v>
      </c>
      <c r="I8" s="71">
        <f ca="1">'3. General Model Inputs'!I11</f>
        <v>0.3</v>
      </c>
    </row>
    <row r="9" spans="1:9">
      <c r="B9" s="2" t="s">
        <v>23</v>
      </c>
      <c r="C9" s="5"/>
      <c r="E9" s="67">
        <f ca="1">'3. General Model Inputs'!E10</f>
        <v>6.4750000000000002E-2</v>
      </c>
      <c r="F9" s="67">
        <f ca="1">'3. General Model Inputs'!F10</f>
        <v>6.4750000000000002E-2</v>
      </c>
      <c r="G9" s="67">
        <f ca="1">'3. General Model Inputs'!G10</f>
        <v>6.4750000000000002E-2</v>
      </c>
      <c r="H9" s="67">
        <f ca="1">'3. General Model Inputs'!H10</f>
        <v>6.4750000000000002E-2</v>
      </c>
      <c r="I9" s="67">
        <f ca="1">'3. General Model Inputs'!I10</f>
        <v>6.4750000000000002E-2</v>
      </c>
    </row>
    <row r="10" spans="1:9">
      <c r="B10" s="2" t="s">
        <v>62</v>
      </c>
      <c r="C10" s="5"/>
      <c r="E10" s="71">
        <f ca="1">'3. General Model Inputs'!E12</f>
        <v>0.6</v>
      </c>
      <c r="F10" s="71">
        <f ca="1">'3. General Model Inputs'!F12</f>
        <v>0.6</v>
      </c>
      <c r="G10" s="71">
        <f ca="1">'3. General Model Inputs'!G12</f>
        <v>0.6</v>
      </c>
      <c r="H10" s="71">
        <f ca="1">'3. General Model Inputs'!H12</f>
        <v>0.6</v>
      </c>
      <c r="I10" s="71">
        <f ca="1">'3. General Model Inputs'!I12</f>
        <v>0.6</v>
      </c>
    </row>
    <row r="11" spans="1:9">
      <c r="B11" s="2" t="s">
        <v>64</v>
      </c>
      <c r="C11" s="5"/>
      <c r="E11" s="71">
        <f ca="1">'3. General Model Inputs'!E13</f>
        <v>0.5</v>
      </c>
      <c r="F11" s="71">
        <f ca="1">'3. General Model Inputs'!F13</f>
        <v>0.5</v>
      </c>
      <c r="G11" s="71">
        <f ca="1">'3. General Model Inputs'!G13</f>
        <v>0.5</v>
      </c>
      <c r="H11" s="71">
        <f ca="1">'3. General Model Inputs'!H13</f>
        <v>0.5</v>
      </c>
      <c r="I11" s="71">
        <f ca="1">'3. General Model Inputs'!I13</f>
        <v>0.5</v>
      </c>
    </row>
    <row r="12" spans="1:9">
      <c r="B12" s="2" t="s">
        <v>22</v>
      </c>
      <c r="C12" s="5"/>
      <c r="E12" s="45">
        <v>1</v>
      </c>
      <c r="F12" s="45">
        <f ca="1">E12/(1+F7)</f>
        <v>0.93283582089552231</v>
      </c>
      <c r="G12" s="45">
        <f ca="1">F12/(1+G7)</f>
        <v>0.87018266874582295</v>
      </c>
      <c r="H12" s="45">
        <f ca="1">G12/(1+H7)</f>
        <v>0.81173756412856612</v>
      </c>
      <c r="I12" s="45">
        <f ca="1">H12/(1+I7)</f>
        <v>0.75721787698560272</v>
      </c>
    </row>
    <row r="13" spans="1:9">
      <c r="C13" s="5"/>
    </row>
    <row r="14" spans="1:9">
      <c r="A14" s="35">
        <f>'2. Notes and Assumptions'!B72</f>
        <v>48</v>
      </c>
      <c r="B14" s="47" t="s">
        <v>107</v>
      </c>
      <c r="C14" s="103"/>
      <c r="D14" s="30"/>
      <c r="E14" s="30"/>
      <c r="F14" s="30"/>
      <c r="G14" s="30"/>
      <c r="H14" s="30"/>
      <c r="I14" s="30"/>
    </row>
    <row r="15" spans="1:9" ht="15.75">
      <c r="B15" s="10" t="s">
        <v>15</v>
      </c>
      <c r="C15" s="5"/>
    </row>
    <row r="16" spans="1:9">
      <c r="B16" s="2" t="s">
        <v>16</v>
      </c>
      <c r="C16" s="103" t="s">
        <v>106</v>
      </c>
      <c r="D16" s="30"/>
      <c r="E16" s="30">
        <f>'20. Sewer - Existing Assets RAB'!D16+'21. Sewer - Capex RAB'!D16</f>
        <v>665771177.99237096</v>
      </c>
      <c r="F16" s="30">
        <f ca="1">'20. Sewer - Existing Assets RAB'!E16+'21. Sewer - Capex RAB'!E16</f>
        <v>693942989.44653463</v>
      </c>
      <c r="G16" s="30">
        <f ca="1">'20. Sewer - Existing Assets RAB'!F16+'21. Sewer - Capex RAB'!F16</f>
        <v>744065289.00243139</v>
      </c>
      <c r="H16" s="30">
        <f ca="1">'20. Sewer - Existing Assets RAB'!G16+'21. Sewer - Capex RAB'!G16</f>
        <v>830156888.21100783</v>
      </c>
      <c r="I16" s="30">
        <f ca="1">'20. Sewer - Existing Assets RAB'!H16+'21. Sewer - Capex RAB'!H16</f>
        <v>917512942.17577314</v>
      </c>
    </row>
    <row r="17" spans="2:9">
      <c r="B17" s="2" t="s">
        <v>15</v>
      </c>
      <c r="C17" s="103" t="s">
        <v>106</v>
      </c>
      <c r="D17" s="30"/>
      <c r="E17" s="30">
        <f ca="1">E16*E$7</f>
        <v>47935524.815450706</v>
      </c>
      <c r="F17" s="30">
        <f t="shared" ref="F17:I17" ca="1" si="0">F16*F$7</f>
        <v>49963895.240150489</v>
      </c>
      <c r="G17" s="30">
        <f t="shared" ca="1" si="0"/>
        <v>53572700.808175057</v>
      </c>
      <c r="H17" s="30">
        <f t="shared" ca="1" si="0"/>
        <v>59771295.951192558</v>
      </c>
      <c r="I17" s="30">
        <f t="shared" ca="1" si="0"/>
        <v>66060931.836655661</v>
      </c>
    </row>
    <row r="18" spans="2:9">
      <c r="B18" s="2" t="s">
        <v>195</v>
      </c>
      <c r="C18" s="103" t="s">
        <v>106</v>
      </c>
      <c r="D18" s="30"/>
      <c r="E18" s="30">
        <f ca="1">-('20. Sewer - Existing Assets RAB'!D12+'21. Sewer - Capex RAB'!D12)</f>
        <v>-16644279.449809276</v>
      </c>
      <c r="F18" s="30">
        <f ca="1">-('20. Sewer - Existing Assets RAB'!E12+'21. Sewer - Capex RAB'!E12)</f>
        <v>-17348574.736163367</v>
      </c>
      <c r="G18" s="30">
        <f ca="1">-('20. Sewer - Existing Assets RAB'!F12+'21. Sewer - Capex RAB'!F12)</f>
        <v>-18601632.225060783</v>
      </c>
      <c r="H18" s="30">
        <f ca="1">-('20. Sewer - Existing Assets RAB'!G12+'21. Sewer - Capex RAB'!G12)</f>
        <v>-20753922.205275193</v>
      </c>
      <c r="I18" s="30">
        <f ca="1">-('20. Sewer - Existing Assets RAB'!H12+'21. Sewer - Capex RAB'!H12)</f>
        <v>-22937823.554394335</v>
      </c>
    </row>
    <row r="19" spans="2:9">
      <c r="B19" s="2" t="s">
        <v>28</v>
      </c>
      <c r="C19" s="103" t="s">
        <v>106</v>
      </c>
      <c r="D19" s="30"/>
      <c r="E19" s="30">
        <f ca="1">-E$11*E46</f>
        <v>-1191648.5257765576</v>
      </c>
      <c r="F19" s="30">
        <f ca="1">-F$11*F46</f>
        <v>-1301717.1907490573</v>
      </c>
      <c r="G19" s="30">
        <f ca="1">-G$11*G46</f>
        <v>-1596915.8545343087</v>
      </c>
      <c r="H19" s="30">
        <f ca="1">-H$11*H46</f>
        <v>-1224921.4179992168</v>
      </c>
      <c r="I19" s="30">
        <f ca="1">-I$11*I46</f>
        <v>-817066.03171188757</v>
      </c>
    </row>
    <row r="20" spans="2:9">
      <c r="B20" s="2" t="s">
        <v>17</v>
      </c>
      <c r="C20" s="103" t="s">
        <v>106</v>
      </c>
      <c r="D20" s="30"/>
      <c r="E20" s="48">
        <f ca="1">SUM(E17:E19)</f>
        <v>30099596.839864872</v>
      </c>
      <c r="F20" s="48">
        <f ca="1">SUM(F17:F19)</f>
        <v>31313603.313238066</v>
      </c>
      <c r="G20" s="48">
        <f ca="1">SUM(G17:G19)</f>
        <v>33374152.728579964</v>
      </c>
      <c r="H20" s="48">
        <f ca="1">SUM(H17:H19)</f>
        <v>37792452.32791815</v>
      </c>
      <c r="I20" s="48">
        <f ca="1">SUM(I17:I19)</f>
        <v>42306042.250549436</v>
      </c>
    </row>
    <row r="21" spans="2:9">
      <c r="C21" s="103"/>
      <c r="D21" s="30"/>
      <c r="E21" s="30"/>
      <c r="F21" s="30"/>
      <c r="G21" s="30"/>
      <c r="H21" s="30"/>
      <c r="I21" s="30"/>
    </row>
    <row r="22" spans="2:9" ht="15.75">
      <c r="B22" s="10" t="s">
        <v>29</v>
      </c>
      <c r="C22" s="103"/>
      <c r="D22" s="49" t="s">
        <v>65</v>
      </c>
      <c r="E22" s="30"/>
      <c r="F22" s="30"/>
      <c r="G22" s="30"/>
      <c r="H22" s="30"/>
      <c r="I22" s="30"/>
    </row>
    <row r="23" spans="2:9">
      <c r="B23" s="2" t="s">
        <v>15</v>
      </c>
      <c r="C23" s="103" t="s">
        <v>106</v>
      </c>
      <c r="D23" s="30">
        <f ca="1">SUMPRODUCT(E$12:I$12,E23:I23)</f>
        <v>151064101.67198595</v>
      </c>
      <c r="E23" s="30">
        <f ca="1">E20</f>
        <v>30099596.839864872</v>
      </c>
      <c r="F23" s="30">
        <f ca="1">F20</f>
        <v>31313603.313238066</v>
      </c>
      <c r="G23" s="30">
        <f ca="1">G20</f>
        <v>33374152.728579964</v>
      </c>
      <c r="H23" s="30">
        <f ca="1">H20</f>
        <v>37792452.32791815</v>
      </c>
      <c r="I23" s="30">
        <f ca="1">I20</f>
        <v>42306042.250549436</v>
      </c>
    </row>
    <row r="24" spans="2:9">
      <c r="B24" s="2" t="s">
        <v>30</v>
      </c>
      <c r="C24" s="103" t="s">
        <v>106</v>
      </c>
      <c r="D24" s="30">
        <f t="shared" ref="D24:D27" ca="1" si="1">SUMPRODUCT(E$12:I$12,E24:I24)</f>
        <v>-47434044.911016434</v>
      </c>
      <c r="E24" s="30">
        <f>'3. General Model Inputs'!E84</f>
        <v>-10352179.067311149</v>
      </c>
      <c r="F24" s="30">
        <f>'3. General Model Inputs'!F84</f>
        <v>-10612939.552010439</v>
      </c>
      <c r="G24" s="30">
        <f>'3. General Model Inputs'!G84</f>
        <v>-10880330.541284157</v>
      </c>
      <c r="H24" s="30">
        <f>'3. General Model Inputs'!H84</f>
        <v>-11154524.1528167</v>
      </c>
      <c r="I24" s="30">
        <f>'3. General Model Inputs'!I84</f>
        <v>-11435697.169473583</v>
      </c>
    </row>
    <row r="25" spans="2:9">
      <c r="B25" s="2" t="s">
        <v>457</v>
      </c>
      <c r="C25" s="103" t="s">
        <v>106</v>
      </c>
      <c r="D25" s="30">
        <f t="shared" ca="1" si="1"/>
        <v>-2630116.1573254624</v>
      </c>
      <c r="E25" s="30">
        <f>CSO_1_1</f>
        <v>-589327.24679831532</v>
      </c>
      <c r="F25" s="30">
        <f>CSO_1_2</f>
        <v>-595896.09000262315</v>
      </c>
      <c r="G25" s="30">
        <f>CSO_1_3</f>
        <v>-602484.35203355632</v>
      </c>
      <c r="H25" s="30">
        <f>CSO_1_4</f>
        <v>-609088.8983055345</v>
      </c>
      <c r="I25" s="30">
        <f>CSO_1_5</f>
        <v>-615706.42536684044</v>
      </c>
    </row>
    <row r="26" spans="2:9">
      <c r="B26" s="2" t="s">
        <v>13</v>
      </c>
      <c r="C26" s="103" t="s">
        <v>106</v>
      </c>
      <c r="D26" s="30">
        <f t="shared" ca="1" si="1"/>
        <v>91501465.922909275</v>
      </c>
      <c r="E26" s="30">
        <f ca="1">-('20. Sewer - Existing Assets RAB'!D13+'21. Sewer - Capex RAB'!D13)</f>
        <v>16641468.936812203</v>
      </c>
      <c r="F26" s="30">
        <f ca="1">-('20. Sewer - Existing Assets RAB'!E13+'21. Sewer - Capex RAB'!E13)</f>
        <v>19128101.451368872</v>
      </c>
      <c r="G26" s="30">
        <f ca="1">-('20. Sewer - Existing Assets RAB'!F13+'21. Sewer - Capex RAB'!F13)</f>
        <v>20229851.279260125</v>
      </c>
      <c r="H26" s="30">
        <f ca="1">-('20. Sewer - Existing Assets RAB'!G13+'21. Sewer - Capex RAB'!G13)</f>
        <v>23423873.817206472</v>
      </c>
      <c r="I26" s="30">
        <f ca="1">-('20. Sewer - Existing Assets RAB'!H13+'21. Sewer - Capex RAB'!H13)</f>
        <v>26939293.348950665</v>
      </c>
    </row>
    <row r="27" spans="2:9">
      <c r="B27" s="2" t="s">
        <v>31</v>
      </c>
      <c r="C27" s="103" t="s">
        <v>106</v>
      </c>
      <c r="D27" s="30">
        <f t="shared" ca="1" si="1"/>
        <v>327843806.15742218</v>
      </c>
      <c r="E27" s="30">
        <f>'3. General Model Inputs'!E75</f>
        <v>71091811.869864091</v>
      </c>
      <c r="F27" s="30">
        <f>'3. General Model Inputs'!F75</f>
        <v>73006644.066900492</v>
      </c>
      <c r="G27" s="30">
        <f>'3. General Model Inputs'!G75</f>
        <v>74527568.572860733</v>
      </c>
      <c r="H27" s="30">
        <f>'3. General Model Inputs'!H75</f>
        <v>77393102.296983644</v>
      </c>
      <c r="I27" s="30">
        <f>'3. General Model Inputs'!I75</f>
        <v>80522788.139307752</v>
      </c>
    </row>
    <row r="28" spans="2:9">
      <c r="B28" s="2" t="s">
        <v>32</v>
      </c>
      <c r="C28" s="103" t="s">
        <v>106</v>
      </c>
      <c r="D28" s="30">
        <f ca="1">SUMPRODUCT(E$12:I$12,E28:I28)</f>
        <v>10817114.36805894</v>
      </c>
      <c r="E28" s="30">
        <f ca="1">E46</f>
        <v>2383297.0515531152</v>
      </c>
      <c r="F28" s="30">
        <f ca="1">F46</f>
        <v>2603434.3814981147</v>
      </c>
      <c r="G28" s="30">
        <f ca="1">G46</f>
        <v>3193831.7090686173</v>
      </c>
      <c r="H28" s="30">
        <f ca="1">H46</f>
        <v>2449842.8359984336</v>
      </c>
      <c r="I28" s="30">
        <f ca="1">I46</f>
        <v>1634132.0634237751</v>
      </c>
    </row>
    <row r="29" spans="2:9">
      <c r="C29" s="103"/>
      <c r="D29" s="48">
        <f ca="1">SUMPRODUCT(E$12:I$12,E29:I29)</f>
        <v>531162327.05203456</v>
      </c>
      <c r="E29" s="48">
        <f ca="1">SUM(E23:E28)</f>
        <v>109274668.38398482</v>
      </c>
      <c r="F29" s="48">
        <f ca="1">SUM(F23:F28)</f>
        <v>114842947.57099248</v>
      </c>
      <c r="G29" s="48">
        <f ca="1">SUM(G23:G28)</f>
        <v>119842589.39645173</v>
      </c>
      <c r="H29" s="48">
        <f ca="1">SUM(H23:H28)</f>
        <v>129295658.22698446</v>
      </c>
      <c r="I29" s="48">
        <f ca="1">SUM(I23:I28)</f>
        <v>139350852.20739123</v>
      </c>
    </row>
    <row r="30" spans="2:9">
      <c r="C30" s="103"/>
      <c r="D30" s="30"/>
      <c r="E30" s="30"/>
      <c r="F30" s="30"/>
      <c r="G30" s="30"/>
      <c r="H30" s="30"/>
      <c r="I30" s="30"/>
    </row>
    <row r="31" spans="2:9">
      <c r="C31" s="103"/>
      <c r="D31" s="30"/>
      <c r="E31" s="30"/>
      <c r="F31" s="30"/>
      <c r="G31" s="30"/>
      <c r="H31" s="30"/>
      <c r="I31" s="30"/>
    </row>
    <row r="32" spans="2:9" ht="15.75">
      <c r="B32" s="10" t="s">
        <v>66</v>
      </c>
      <c r="C32" s="103"/>
      <c r="D32" s="30">
        <f ca="1">SUMPRODUCT(E$12:I$12,E32:I32)</f>
        <v>531162327.0520345</v>
      </c>
      <c r="E32" s="30">
        <f ca="1">'25. Sewer - Price Setting'!E32</f>
        <v>110721838.4476569</v>
      </c>
      <c r="F32" s="30">
        <f ca="1">'25. Sewer - Price Setting'!F32</f>
        <v>116236963.94323066</v>
      </c>
      <c r="G32" s="30">
        <f ca="1">'25. Sewer - Price Setting'!G32</f>
        <v>122027090.42314547</v>
      </c>
      <c r="H32" s="30">
        <f ca="1">'25. Sewer - Price Setting'!H32</f>
        <v>128105834.79715984</v>
      </c>
      <c r="I32" s="30">
        <f ca="1">'25. Sewer - Price Setting'!I32</f>
        <v>134487458.00717992</v>
      </c>
    </row>
    <row r="33" spans="1:9" ht="15.75">
      <c r="B33" s="10"/>
      <c r="C33" s="103"/>
      <c r="D33" s="30"/>
      <c r="E33" s="30"/>
      <c r="F33" s="30"/>
      <c r="G33" s="30"/>
      <c r="H33" s="30"/>
      <c r="I33" s="30"/>
    </row>
    <row r="34" spans="1:9" ht="15.75">
      <c r="B34" s="10" t="s">
        <v>34</v>
      </c>
      <c r="C34" s="103"/>
      <c r="D34" s="30"/>
      <c r="E34" s="30"/>
      <c r="F34" s="30"/>
      <c r="G34" s="30"/>
      <c r="H34" s="30"/>
      <c r="I34" s="30"/>
    </row>
    <row r="35" spans="1:9">
      <c r="B35" s="2" t="s">
        <v>35</v>
      </c>
      <c r="C35" s="103"/>
      <c r="D35" s="30"/>
      <c r="E35" s="30">
        <f ca="1">E32</f>
        <v>110721838.4476569</v>
      </c>
      <c r="F35" s="30">
        <f ca="1">F32</f>
        <v>116236963.94323066</v>
      </c>
      <c r="G35" s="30">
        <f ca="1">G32</f>
        <v>122027090.42314547</v>
      </c>
      <c r="H35" s="30">
        <f ca="1">H32</f>
        <v>128105834.79715984</v>
      </c>
      <c r="I35" s="30">
        <f ca="1">I32</f>
        <v>134487458.00717992</v>
      </c>
    </row>
    <row r="36" spans="1:9">
      <c r="B36" s="2" t="s">
        <v>36</v>
      </c>
      <c r="C36" s="103"/>
      <c r="D36" s="30"/>
      <c r="E36" s="30">
        <f>-E24</f>
        <v>10352179.067311149</v>
      </c>
      <c r="F36" s="30">
        <f>-F24</f>
        <v>10612939.552010439</v>
      </c>
      <c r="G36" s="30">
        <f>-G24</f>
        <v>10880330.541284157</v>
      </c>
      <c r="H36" s="30">
        <f>-H24</f>
        <v>11154524.1528167</v>
      </c>
      <c r="I36" s="30">
        <f>-I24</f>
        <v>11435697.169473583</v>
      </c>
    </row>
    <row r="37" spans="1:9">
      <c r="B37" s="2" t="s">
        <v>40</v>
      </c>
      <c r="C37" s="103"/>
      <c r="D37" s="30"/>
      <c r="E37" s="30">
        <f>'22.Sewer-Existing Assets Tax BV'!D13+'23. Sewer - Capex Tax BV'!D13</f>
        <v>-16172671.874923306</v>
      </c>
      <c r="F37" s="30">
        <f>'22.Sewer-Existing Assets Tax BV'!E13+'23. Sewer - Capex Tax BV'!E13</f>
        <v>-18205459.683349025</v>
      </c>
      <c r="G37" s="30">
        <f>'22.Sewer-Existing Assets Tax BV'!F13+'23. Sewer - Capex Tax BV'!F13</f>
        <v>-18826810.216929048</v>
      </c>
      <c r="H37" s="30">
        <f>'22.Sewer-Existing Assets Tax BV'!G13+'23. Sewer - Capex Tax BV'!G13</f>
        <v>-21449518.759333782</v>
      </c>
      <c r="I37" s="30">
        <f>'22.Sewer-Existing Assets Tax BV'!H13+'23. Sewer - Capex Tax BV'!H13</f>
        <v>-24307882.355737709</v>
      </c>
    </row>
    <row r="38" spans="1:9">
      <c r="B38" s="2" t="s">
        <v>41</v>
      </c>
      <c r="C38" s="103"/>
      <c r="D38" s="30"/>
      <c r="E38" s="30">
        <f ca="1">-E16*E10*E9</f>
        <v>-25865210.26500361</v>
      </c>
      <c r="F38" s="30">
        <f ca="1">-F16*F10*F9</f>
        <v>-26959685.13999787</v>
      </c>
      <c r="G38" s="30">
        <f ca="1">-G16*G10*G9</f>
        <v>-28906936.477744456</v>
      </c>
      <c r="H38" s="30">
        <f ca="1">-H16*H10*H9</f>
        <v>-32251595.106997654</v>
      </c>
      <c r="I38" s="30">
        <f ca="1">-I16*I10*I9</f>
        <v>-35645377.803528786</v>
      </c>
    </row>
    <row r="39" spans="1:9">
      <c r="B39" s="2" t="s">
        <v>42</v>
      </c>
      <c r="C39" s="103"/>
      <c r="D39" s="30"/>
      <c r="E39" s="30">
        <f>-E27</f>
        <v>-71091811.869864091</v>
      </c>
      <c r="F39" s="30">
        <f t="shared" ref="F39:I39" si="2">-F27</f>
        <v>-73006644.066900492</v>
      </c>
      <c r="G39" s="30">
        <f t="shared" si="2"/>
        <v>-74527568.572860733</v>
      </c>
      <c r="H39" s="30">
        <f t="shared" si="2"/>
        <v>-77393102.296983644</v>
      </c>
      <c r="I39" s="30">
        <f t="shared" si="2"/>
        <v>-80522788.139307752</v>
      </c>
    </row>
    <row r="40" spans="1:9">
      <c r="B40" s="2" t="s">
        <v>43</v>
      </c>
      <c r="C40" s="103"/>
      <c r="D40" s="30"/>
      <c r="E40" s="30">
        <f t="shared" ref="E40" si="3">IF(E43=0,0,IF(SUM(E35:E39)&lt;0,0,IF(SUM(E35:E39)&lt;E43,-SUM(E35:E39),-E43)))</f>
        <v>0</v>
      </c>
      <c r="F40" s="30">
        <f ca="1">IF(F43=0,0,IF(SUM(F35:F39)&lt;0,0,IF(SUM(F35:F39)&lt;F43,-SUM(F35:F39),-F43)))</f>
        <v>0</v>
      </c>
      <c r="G40" s="30">
        <f ca="1">IF(G43=0,0,IF(SUM(G35:G39)&lt;0,0,IF(SUM(G35:G39)&lt;G43,-SUM(G35:G39),-G43)))</f>
        <v>0</v>
      </c>
      <c r="H40" s="30">
        <f ca="1">IF(H43=0,0,IF(SUM(H35:H39)&lt;0,0,IF(SUM(H35:H39)&lt;H43,-SUM(H35:H39),-H43)))</f>
        <v>0</v>
      </c>
      <c r="I40" s="30">
        <f ca="1">IF(I43=0,0,IF(SUM(I35:I39)&lt;0,0,IF(SUM(I35:I39)&lt;I43,-SUM(I35:I39),-I43)))</f>
        <v>0</v>
      </c>
    </row>
    <row r="41" spans="1:9">
      <c r="B41" s="2" t="s">
        <v>37</v>
      </c>
      <c r="C41" s="103"/>
      <c r="D41" s="30"/>
      <c r="E41" s="30">
        <f ca="1">SUM(E35:E40)</f>
        <v>7944323.5051770508</v>
      </c>
      <c r="F41" s="30">
        <f ca="1">SUM(F35:F40)</f>
        <v>8678114.6049937159</v>
      </c>
      <c r="G41" s="30">
        <f ca="1">SUM(G35:G40)</f>
        <v>10646105.696895391</v>
      </c>
      <c r="H41" s="30">
        <f ca="1">SUM(H35:H40)</f>
        <v>8166142.7866614461</v>
      </c>
      <c r="I41" s="30">
        <f ca="1">SUM(I35:I40)</f>
        <v>5447106.8780792505</v>
      </c>
    </row>
    <row r="42" spans="1:9">
      <c r="C42" s="103"/>
      <c r="D42" s="30"/>
      <c r="E42" s="30"/>
      <c r="F42" s="30"/>
      <c r="G42" s="30"/>
      <c r="H42" s="30"/>
      <c r="I42" s="30"/>
    </row>
    <row r="43" spans="1:9">
      <c r="B43" s="2" t="s">
        <v>38</v>
      </c>
      <c r="C43" s="103"/>
      <c r="D43" s="30"/>
      <c r="E43" s="30">
        <f>'3. General Model Inputs'!$E$57</f>
        <v>0</v>
      </c>
      <c r="F43" s="30">
        <f ca="1">E44</f>
        <v>0</v>
      </c>
      <c r="G43" s="30">
        <f ca="1">F44</f>
        <v>0</v>
      </c>
      <c r="H43" s="30">
        <f ca="1">G44</f>
        <v>0</v>
      </c>
      <c r="I43" s="30">
        <f ca="1">H44</f>
        <v>0</v>
      </c>
    </row>
    <row r="44" spans="1:9">
      <c r="B44" s="2" t="s">
        <v>39</v>
      </c>
      <c r="C44" s="103"/>
      <c r="D44" s="30"/>
      <c r="E44" s="30">
        <f ca="1">IF((E43+E40-E41)&gt;0,E43+E40-E41,0)</f>
        <v>0</v>
      </c>
      <c r="F44" s="30">
        <f ca="1">IF((F43+F40-F41)&gt;0,F43+F40-F41,0)</f>
        <v>0</v>
      </c>
      <c r="G44" s="30">
        <f ca="1">IF((G43+G40-G41)&gt;0,G43+G40-G41,0)</f>
        <v>0</v>
      </c>
      <c r="H44" s="30">
        <f ca="1">IF((H43+H40-H41)&gt;0,H43+H40-H41,0)</f>
        <v>0</v>
      </c>
      <c r="I44" s="30">
        <f ca="1">IF((I43+I40-I41)&gt;0,I43+I40-I41,0)</f>
        <v>0</v>
      </c>
    </row>
    <row r="45" spans="1:9">
      <c r="C45" s="103"/>
      <c r="D45" s="30"/>
      <c r="E45" s="30"/>
      <c r="F45" s="30"/>
      <c r="G45" s="30"/>
      <c r="H45" s="30"/>
      <c r="I45" s="30"/>
    </row>
    <row r="46" spans="1:9">
      <c r="B46" s="2" t="s">
        <v>32</v>
      </c>
      <c r="C46" s="103"/>
      <c r="D46" s="30"/>
      <c r="E46" s="30">
        <f ca="1">IF(E41&lt;0,0,E41*E$8)</f>
        <v>2383297.0515531152</v>
      </c>
      <c r="F46" s="30">
        <f ca="1">IF(F41&lt;0,0,F41*F$8)</f>
        <v>2603434.3814981147</v>
      </c>
      <c r="G46" s="30">
        <f ca="1">IF(G41&lt;0,0,G41*G$8)</f>
        <v>3193831.7090686173</v>
      </c>
      <c r="H46" s="30">
        <f ca="1">IF(H41&lt;0,0,H41*H$8)</f>
        <v>2449842.8359984336</v>
      </c>
      <c r="I46" s="30">
        <f ca="1">IF(I41&lt;0,0,I41*I$8)</f>
        <v>1634132.0634237751</v>
      </c>
    </row>
    <row r="47" spans="1:9">
      <c r="C47" s="103"/>
      <c r="D47" s="30"/>
      <c r="E47" s="30"/>
      <c r="F47" s="30"/>
      <c r="G47" s="30"/>
      <c r="H47" s="30"/>
      <c r="I47" s="30"/>
    </row>
    <row r="48" spans="1:9">
      <c r="A48" s="35">
        <f>'2. Notes and Assumptions'!B73</f>
        <v>49</v>
      </c>
      <c r="B48" s="47" t="s">
        <v>108</v>
      </c>
      <c r="C48" s="5"/>
    </row>
    <row r="49" spans="2:9" ht="15.75">
      <c r="B49" s="10" t="s">
        <v>15</v>
      </c>
      <c r="C49" s="5"/>
    </row>
    <row r="50" spans="2:9">
      <c r="B50" s="2" t="s">
        <v>16</v>
      </c>
      <c r="C50" s="103" t="s">
        <v>106</v>
      </c>
      <c r="D50" s="30"/>
      <c r="E50" s="30">
        <f>E16</f>
        <v>665771177.99237096</v>
      </c>
      <c r="F50" s="30">
        <f ca="1">F16</f>
        <v>693942989.44653463</v>
      </c>
      <c r="G50" s="30">
        <f ca="1">G16</f>
        <v>744065289.00243139</v>
      </c>
      <c r="H50" s="30">
        <f ca="1">H16</f>
        <v>830156888.21100783</v>
      </c>
      <c r="I50" s="30">
        <f ca="1">I16</f>
        <v>917512942.17577314</v>
      </c>
    </row>
    <row r="51" spans="2:9">
      <c r="B51" s="2" t="s">
        <v>15</v>
      </c>
      <c r="C51" s="103" t="s">
        <v>106</v>
      </c>
      <c r="D51" s="30"/>
      <c r="E51" s="30">
        <f ca="1">E50*E$7</f>
        <v>47935524.815450706</v>
      </c>
      <c r="F51" s="30">
        <f t="shared" ref="F51:I51" ca="1" si="4">F50*F$7</f>
        <v>49963895.240150489</v>
      </c>
      <c r="G51" s="30">
        <f t="shared" ca="1" si="4"/>
        <v>53572700.808175057</v>
      </c>
      <c r="H51" s="30">
        <f t="shared" ca="1" si="4"/>
        <v>59771295.951192558</v>
      </c>
      <c r="I51" s="30">
        <f t="shared" ca="1" si="4"/>
        <v>66060931.836655661</v>
      </c>
    </row>
    <row r="52" spans="2:9">
      <c r="B52" s="2" t="s">
        <v>195</v>
      </c>
      <c r="C52" s="103" t="s">
        <v>106</v>
      </c>
      <c r="D52" s="30"/>
      <c r="E52" s="30">
        <f ca="1">E18</f>
        <v>-16644279.449809276</v>
      </c>
      <c r="F52" s="30">
        <f ca="1">F18</f>
        <v>-17348574.736163367</v>
      </c>
      <c r="G52" s="30">
        <f ca="1">G18</f>
        <v>-18601632.225060783</v>
      </c>
      <c r="H52" s="30">
        <f ca="1">H18</f>
        <v>-20753922.205275193</v>
      </c>
      <c r="I52" s="30">
        <f ca="1">I18</f>
        <v>-22937823.554394335</v>
      </c>
    </row>
    <row r="53" spans="2:9">
      <c r="B53" s="2" t="s">
        <v>28</v>
      </c>
      <c r="C53" s="103" t="s">
        <v>106</v>
      </c>
      <c r="D53" s="30"/>
      <c r="E53" s="30">
        <f ca="1">-E$11*E79</f>
        <v>-934801.28362802265</v>
      </c>
      <c r="F53" s="30">
        <f ca="1">-F$11*F79</f>
        <v>-1069206.5702644563</v>
      </c>
      <c r="G53" s="30">
        <f ca="1">-G$11*G79</f>
        <v>-1782191.8770572015</v>
      </c>
      <c r="H53" s="30">
        <f ca="1">-H$11*H79</f>
        <v>-1419426.8611474691</v>
      </c>
      <c r="I53" s="30">
        <f ca="1">-I$11*I79</f>
        <v>-1021260.7569989628</v>
      </c>
    </row>
    <row r="54" spans="2:9">
      <c r="B54" s="2" t="s">
        <v>17</v>
      </c>
      <c r="C54" s="103" t="s">
        <v>106</v>
      </c>
      <c r="D54" s="30"/>
      <c r="E54" s="48">
        <f ca="1">SUM(E51:E53)</f>
        <v>30356444.082013406</v>
      </c>
      <c r="F54" s="48">
        <f ca="1">SUM(F51:F53)</f>
        <v>31546113.933722667</v>
      </c>
      <c r="G54" s="48">
        <f ca="1">SUM(G51:G53)</f>
        <v>33188876.706057072</v>
      </c>
      <c r="H54" s="48">
        <f ca="1">SUM(H51:H53)</f>
        <v>37597946.884769894</v>
      </c>
      <c r="I54" s="48">
        <f ca="1">SUM(I51:I53)</f>
        <v>42101847.525262363</v>
      </c>
    </row>
    <row r="55" spans="2:9">
      <c r="C55" s="103"/>
      <c r="D55" s="30"/>
      <c r="E55" s="30"/>
      <c r="F55" s="30"/>
      <c r="G55" s="30"/>
      <c r="H55" s="30"/>
      <c r="I55" s="30"/>
    </row>
    <row r="56" spans="2:9" ht="15.75">
      <c r="B56" s="10" t="s">
        <v>29</v>
      </c>
      <c r="C56" s="103"/>
      <c r="D56" s="49" t="s">
        <v>65</v>
      </c>
      <c r="E56" s="30"/>
      <c r="F56" s="30"/>
      <c r="G56" s="30"/>
      <c r="H56" s="30"/>
      <c r="I56" s="30"/>
    </row>
    <row r="57" spans="2:9">
      <c r="B57" s="2" t="s">
        <v>15</v>
      </c>
      <c r="C57" s="103" t="s">
        <v>106</v>
      </c>
      <c r="D57" s="30">
        <f ca="1">SUMPRODUCT(E$12:I$12,E57:I57)</f>
        <v>151064111.89492312</v>
      </c>
      <c r="E57" s="30">
        <f ca="1">E54</f>
        <v>30356444.082013406</v>
      </c>
      <c r="F57" s="30">
        <f ca="1">F54</f>
        <v>31546113.933722667</v>
      </c>
      <c r="G57" s="30">
        <f ca="1">G54</f>
        <v>33188876.706057072</v>
      </c>
      <c r="H57" s="30">
        <f ca="1">H54</f>
        <v>37597946.884769894</v>
      </c>
      <c r="I57" s="30">
        <f ca="1">I54</f>
        <v>42101847.525262363</v>
      </c>
    </row>
    <row r="58" spans="2:9">
      <c r="B58" s="2" t="s">
        <v>30</v>
      </c>
      <c r="C58" s="103" t="s">
        <v>106</v>
      </c>
      <c r="D58" s="30">
        <f t="shared" ref="D58:D61" ca="1" si="5">SUMPRODUCT(E$12:I$12,E58:I58)</f>
        <v>-47434044.911016434</v>
      </c>
      <c r="E58" s="30">
        <f>E24</f>
        <v>-10352179.067311149</v>
      </c>
      <c r="F58" s="30">
        <f>F24</f>
        <v>-10612939.552010439</v>
      </c>
      <c r="G58" s="30">
        <f>G24</f>
        <v>-10880330.541284157</v>
      </c>
      <c r="H58" s="30">
        <f>H24</f>
        <v>-11154524.1528167</v>
      </c>
      <c r="I58" s="30">
        <f>I24</f>
        <v>-11435697.169473583</v>
      </c>
    </row>
    <row r="59" spans="2:9">
      <c r="B59" s="2" t="s">
        <v>457</v>
      </c>
      <c r="C59" s="103" t="s">
        <v>106</v>
      </c>
      <c r="D59" s="30">
        <f t="shared" ca="1" si="5"/>
        <v>-2630174.0873031388</v>
      </c>
      <c r="E59" s="30">
        <f>CSO_2_1</f>
        <v>-589868.19757551036</v>
      </c>
      <c r="F59" s="30">
        <f>CSO_2_2</f>
        <v>-596374.29954924807</v>
      </c>
      <c r="G59" s="30">
        <f>CSO_2_3</f>
        <v>-602112.37487291952</v>
      </c>
      <c r="H59" s="30">
        <f>CSO_2_4</f>
        <v>-608707.62171588175</v>
      </c>
      <c r="I59" s="30">
        <f>CSO_2_5</f>
        <v>-615315.61686244642</v>
      </c>
    </row>
    <row r="60" spans="2:9">
      <c r="B60" s="2" t="s">
        <v>13</v>
      </c>
      <c r="C60" s="103" t="s">
        <v>106</v>
      </c>
      <c r="D60" s="30">
        <f t="shared" ca="1" si="5"/>
        <v>91501465.922909275</v>
      </c>
      <c r="E60" s="30">
        <f t="shared" ref="E60:I61" ca="1" si="6">E26</f>
        <v>16641468.936812203</v>
      </c>
      <c r="F60" s="30">
        <f t="shared" ca="1" si="6"/>
        <v>19128101.451368872</v>
      </c>
      <c r="G60" s="30">
        <f t="shared" ca="1" si="6"/>
        <v>20229851.279260125</v>
      </c>
      <c r="H60" s="30">
        <f t="shared" ca="1" si="6"/>
        <v>23423873.817206472</v>
      </c>
      <c r="I60" s="30">
        <f t="shared" ca="1" si="6"/>
        <v>26939293.348950665</v>
      </c>
    </row>
    <row r="61" spans="2:9">
      <c r="B61" s="2" t="s">
        <v>31</v>
      </c>
      <c r="C61" s="103" t="s">
        <v>106</v>
      </c>
      <c r="D61" s="30">
        <f t="shared" ca="1" si="5"/>
        <v>327843806.15742218</v>
      </c>
      <c r="E61" s="30">
        <f t="shared" si="6"/>
        <v>71091811.869864091</v>
      </c>
      <c r="F61" s="30">
        <f t="shared" si="6"/>
        <v>73006644.066900492</v>
      </c>
      <c r="G61" s="30">
        <f t="shared" si="6"/>
        <v>74527568.572860733</v>
      </c>
      <c r="H61" s="30">
        <f t="shared" si="6"/>
        <v>77393102.296983644</v>
      </c>
      <c r="I61" s="30">
        <f t="shared" si="6"/>
        <v>80522788.139307752</v>
      </c>
    </row>
    <row r="62" spans="2:9">
      <c r="B62" s="2" t="s">
        <v>32</v>
      </c>
      <c r="C62" s="103" t="s">
        <v>106</v>
      </c>
      <c r="D62" s="30">
        <f ca="1">SUMPRODUCT(E$12:I$12,E62:I62)</f>
        <v>10817093.922184566</v>
      </c>
      <c r="E62" s="30">
        <f ca="1">E79</f>
        <v>1869602.5672560453</v>
      </c>
      <c r="F62" s="30">
        <f ca="1">F79</f>
        <v>2138413.1405289127</v>
      </c>
      <c r="G62" s="30">
        <f ca="1">G79</f>
        <v>3564383.7541144029</v>
      </c>
      <c r="H62" s="30">
        <f ca="1">H79</f>
        <v>2838853.7222949383</v>
      </c>
      <c r="I62" s="30">
        <f ca="1">I79</f>
        <v>2042521.5139979257</v>
      </c>
    </row>
    <row r="63" spans="2:9">
      <c r="C63" s="30"/>
      <c r="D63" s="48">
        <f ca="1">SUMPRODUCT(E$12:I$12,E63:I63)</f>
        <v>531162258.89911962</v>
      </c>
      <c r="E63" s="48">
        <f ca="1">SUM(E57:E62)</f>
        <v>109017280.1910591</v>
      </c>
      <c r="F63" s="48">
        <f ca="1">SUM(F57:F62)</f>
        <v>114609958.74096125</v>
      </c>
      <c r="G63" s="48">
        <f ca="1">SUM(G57:G62)</f>
        <v>120028237.39613526</v>
      </c>
      <c r="H63" s="48">
        <f ca="1">SUM(H57:H62)</f>
        <v>129490544.94672237</v>
      </c>
      <c r="I63" s="48">
        <f ca="1">SUM(I57:I62)</f>
        <v>139555437.74118268</v>
      </c>
    </row>
    <row r="64" spans="2:9">
      <c r="C64" s="30"/>
      <c r="D64" s="30"/>
      <c r="E64" s="30"/>
      <c r="F64" s="30"/>
      <c r="G64" s="30"/>
      <c r="H64" s="30"/>
      <c r="I64" s="30"/>
    </row>
    <row r="65" spans="2:9" ht="15.75">
      <c r="B65" s="10" t="s">
        <v>66</v>
      </c>
      <c r="C65" s="30"/>
      <c r="D65" s="30">
        <f ca="1">SUMPRODUCT(E$12:I$12,E65:I65)</f>
        <v>531162258.89911985</v>
      </c>
      <c r="E65" s="30">
        <f ca="1">'25. Sewer - Price Setting'!E57</f>
        <v>109009523.5</v>
      </c>
      <c r="F65" s="30">
        <f ca="1">'25. Sewer - Price Setting'!F57</f>
        <v>114686893.14</v>
      </c>
      <c r="G65" s="30">
        <f ca="1">'25. Sewer - Price Setting'!G57</f>
        <v>123262263.90663143</v>
      </c>
      <c r="H65" s="30">
        <f ca="1">'25. Sewer - Price Setting'!H57</f>
        <v>129402537.7514815</v>
      </c>
      <c r="I65" s="30">
        <f ca="1">'25. Sewer - Price Setting'!I57</f>
        <v>135848756.17576042</v>
      </c>
    </row>
    <row r="66" spans="2:9">
      <c r="C66" s="30"/>
      <c r="D66" s="30"/>
      <c r="E66" s="30"/>
      <c r="F66" s="30"/>
      <c r="G66" s="30"/>
      <c r="H66" s="30"/>
      <c r="I66" s="30"/>
    </row>
    <row r="67" spans="2:9" ht="15.75">
      <c r="B67" s="10" t="s">
        <v>34</v>
      </c>
      <c r="C67" s="30"/>
      <c r="D67" s="30"/>
      <c r="E67" s="30"/>
      <c r="F67" s="30"/>
      <c r="G67" s="30"/>
      <c r="H67" s="30"/>
      <c r="I67" s="30"/>
    </row>
    <row r="68" spans="2:9">
      <c r="B68" s="2" t="s">
        <v>35</v>
      </c>
      <c r="C68" s="30"/>
      <c r="D68" s="30"/>
      <c r="E68" s="30">
        <f ca="1">E65</f>
        <v>109009523.5</v>
      </c>
      <c r="F68" s="30">
        <f ca="1">F65</f>
        <v>114686893.14</v>
      </c>
      <c r="G68" s="30">
        <f ca="1">G65</f>
        <v>123262263.90663143</v>
      </c>
      <c r="H68" s="30">
        <f ca="1">H65</f>
        <v>129402537.7514815</v>
      </c>
      <c r="I68" s="30">
        <f ca="1">I65</f>
        <v>135848756.17576042</v>
      </c>
    </row>
    <row r="69" spans="2:9">
      <c r="B69" s="2" t="s">
        <v>36</v>
      </c>
      <c r="C69" s="30"/>
      <c r="D69" s="30"/>
      <c r="E69" s="30">
        <f t="shared" ref="E69:I72" si="7">E36</f>
        <v>10352179.067311149</v>
      </c>
      <c r="F69" s="30">
        <f t="shared" si="7"/>
        <v>10612939.552010439</v>
      </c>
      <c r="G69" s="30">
        <f t="shared" si="7"/>
        <v>10880330.541284157</v>
      </c>
      <c r="H69" s="30">
        <f t="shared" si="7"/>
        <v>11154524.1528167</v>
      </c>
      <c r="I69" s="30">
        <f t="shared" si="7"/>
        <v>11435697.169473583</v>
      </c>
    </row>
    <row r="70" spans="2:9">
      <c r="B70" s="2" t="s">
        <v>40</v>
      </c>
      <c r="C70" s="30"/>
      <c r="D70" s="30"/>
      <c r="E70" s="30">
        <f t="shared" si="7"/>
        <v>-16172671.874923306</v>
      </c>
      <c r="F70" s="30">
        <f t="shared" si="7"/>
        <v>-18205459.683349025</v>
      </c>
      <c r="G70" s="30">
        <f t="shared" si="7"/>
        <v>-18826810.216929048</v>
      </c>
      <c r="H70" s="30">
        <f t="shared" si="7"/>
        <v>-21449518.759333782</v>
      </c>
      <c r="I70" s="30">
        <f t="shared" si="7"/>
        <v>-24307882.355737709</v>
      </c>
    </row>
    <row r="71" spans="2:9">
      <c r="B71" s="2" t="s">
        <v>41</v>
      </c>
      <c r="C71" s="30"/>
      <c r="D71" s="30"/>
      <c r="E71" s="30">
        <f t="shared" ca="1" si="7"/>
        <v>-25865210.26500361</v>
      </c>
      <c r="F71" s="30">
        <f t="shared" ca="1" si="7"/>
        <v>-26959685.13999787</v>
      </c>
      <c r="G71" s="30">
        <f t="shared" ca="1" si="7"/>
        <v>-28906936.477744456</v>
      </c>
      <c r="H71" s="30">
        <f t="shared" ca="1" si="7"/>
        <v>-32251595.106997654</v>
      </c>
      <c r="I71" s="30">
        <f t="shared" ca="1" si="7"/>
        <v>-35645377.803528786</v>
      </c>
    </row>
    <row r="72" spans="2:9">
      <c r="B72" s="2" t="s">
        <v>42</v>
      </c>
      <c r="C72" s="30"/>
      <c r="D72" s="30"/>
      <c r="E72" s="30">
        <f t="shared" si="7"/>
        <v>-71091811.869864091</v>
      </c>
      <c r="F72" s="30">
        <f t="shared" si="7"/>
        <v>-73006644.066900492</v>
      </c>
      <c r="G72" s="30">
        <f t="shared" si="7"/>
        <v>-74527568.572860733</v>
      </c>
      <c r="H72" s="30">
        <f t="shared" si="7"/>
        <v>-77393102.296983644</v>
      </c>
      <c r="I72" s="30">
        <f t="shared" si="7"/>
        <v>-80522788.139307752</v>
      </c>
    </row>
    <row r="73" spans="2:9">
      <c r="B73" s="2" t="s">
        <v>43</v>
      </c>
      <c r="C73" s="30"/>
      <c r="D73" s="30"/>
      <c r="E73" s="30">
        <f t="shared" ref="E73" si="8">IF(E76=0,0,IF(SUM(E68:E72)&lt;0,0,IF(SUM(E68:E72)&lt;E76,-SUM(E68:E72),-E76)))</f>
        <v>0</v>
      </c>
      <c r="F73" s="30">
        <f ca="1">IF(F76=0,0,IF(SUM(F68:F72)&lt;0,0,IF(SUM(F68:F72)&lt;F76,-SUM(F68:F72),-F76)))</f>
        <v>0</v>
      </c>
      <c r="G73" s="30">
        <f ca="1">IF(G76=0,0,IF(SUM(G68:G72)&lt;0,0,IF(SUM(G68:G72)&lt;G76,-SUM(G68:G72),-G76)))</f>
        <v>0</v>
      </c>
      <c r="H73" s="30">
        <f ca="1">IF(H76=0,0,IF(SUM(H68:H72)&lt;0,0,IF(SUM(H68:H72)&lt;H76,-SUM(H68:H72),-H76)))</f>
        <v>0</v>
      </c>
      <c r="I73" s="30">
        <f ca="1">IF(I76=0,0,IF(SUM(I68:I72)&lt;0,0,IF(SUM(I68:I72)&lt;I76,-SUM(I68:I72),-I76)))</f>
        <v>0</v>
      </c>
    </row>
    <row r="74" spans="2:9">
      <c r="B74" s="2" t="s">
        <v>37</v>
      </c>
      <c r="C74" s="30"/>
      <c r="D74" s="30"/>
      <c r="E74" s="30">
        <f ca="1">SUM(E68:E73)</f>
        <v>6232008.5575201511</v>
      </c>
      <c r="F74" s="30">
        <f ca="1">SUM(F68:F73)</f>
        <v>7128043.8017630428</v>
      </c>
      <c r="G74" s="30">
        <f ca="1">SUM(G68:G73)</f>
        <v>11881279.180381343</v>
      </c>
      <c r="H74" s="30">
        <f ca="1">SUM(H68:H73)</f>
        <v>9462845.7409831285</v>
      </c>
      <c r="I74" s="30">
        <f ca="1">SUM(I68:I73)</f>
        <v>6808405.0466597527</v>
      </c>
    </row>
    <row r="75" spans="2:9">
      <c r="C75" s="30"/>
      <c r="D75" s="30"/>
      <c r="E75" s="30"/>
      <c r="F75" s="30"/>
      <c r="G75" s="30"/>
      <c r="H75" s="30"/>
      <c r="I75" s="30"/>
    </row>
    <row r="76" spans="2:9">
      <c r="B76" s="2" t="s">
        <v>38</v>
      </c>
      <c r="C76" s="30"/>
      <c r="D76" s="30"/>
      <c r="E76" s="30">
        <f>'3. General Model Inputs'!$E$57</f>
        <v>0</v>
      </c>
      <c r="F76" s="30">
        <f ca="1">E77</f>
        <v>0</v>
      </c>
      <c r="G76" s="30">
        <f ca="1">F77</f>
        <v>0</v>
      </c>
      <c r="H76" s="30">
        <f ca="1">G77</f>
        <v>0</v>
      </c>
      <c r="I76" s="30">
        <f ca="1">H77</f>
        <v>0</v>
      </c>
    </row>
    <row r="77" spans="2:9">
      <c r="B77" s="2" t="s">
        <v>39</v>
      </c>
      <c r="C77" s="30"/>
      <c r="D77" s="30"/>
      <c r="E77" s="30">
        <f ca="1">IF((E76+E73-E74)&gt;0,E76+E73-E74,0)</f>
        <v>0</v>
      </c>
      <c r="F77" s="30">
        <f ca="1">IF((F76+F73-F74)&gt;0,F76+F73-F74,0)</f>
        <v>0</v>
      </c>
      <c r="G77" s="30">
        <f ca="1">IF((G76+G73-G74)&gt;0,G76+G73-G74,0)</f>
        <v>0</v>
      </c>
      <c r="H77" s="30">
        <f ca="1">IF((H76+H73-H74)&gt;0,H76+H73-H74,0)</f>
        <v>0</v>
      </c>
      <c r="I77" s="30">
        <f ca="1">IF((I76+I73-I74)&gt;0,I76+I73-I74,0)</f>
        <v>0</v>
      </c>
    </row>
    <row r="78" spans="2:9">
      <c r="C78" s="30"/>
      <c r="D78" s="30"/>
      <c r="E78" s="30"/>
      <c r="F78" s="30"/>
      <c r="G78" s="30"/>
      <c r="H78" s="30"/>
      <c r="I78" s="30"/>
    </row>
    <row r="79" spans="2:9">
      <c r="B79" s="2" t="s">
        <v>32</v>
      </c>
      <c r="C79" s="30"/>
      <c r="D79" s="30"/>
      <c r="E79" s="30">
        <f ca="1">IF(E74&lt;0,0,E74*E$8)</f>
        <v>1869602.5672560453</v>
      </c>
      <c r="F79" s="30">
        <f ca="1">IF(F74&lt;0,0,F74*F$8)</f>
        <v>2138413.1405289127</v>
      </c>
      <c r="G79" s="30">
        <f ca="1">IF(G74&lt;0,0,G74*G$8)</f>
        <v>3564383.7541144029</v>
      </c>
      <c r="H79" s="30">
        <f ca="1">IF(H74&lt;0,0,H74*H$8)</f>
        <v>2838853.7222949383</v>
      </c>
      <c r="I79" s="30">
        <f ca="1">IF(I74&lt;0,0,I74*I$8)</f>
        <v>2042521.5139979257</v>
      </c>
    </row>
  </sheetData>
  <pageMargins left="0" right="0" top="0" bottom="0" header="0" footer="0"/>
  <pageSetup paperSize="9" scale="80"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81FADA93-B6CB-4C40-9FAC-696D369E0090}">
            <xm:f>'2. Notes and Assumptions'!$D$92="ERROR"</xm:f>
            <x14:dxf>
              <font>
                <color theme="0"/>
              </font>
              <fill>
                <patternFill patternType="solid">
                  <fgColor indexed="64"/>
                  <bgColor rgb="FFFF0000"/>
                </patternFill>
              </fill>
            </x14:dxf>
          </x14:cfRule>
          <x14:cfRule type="expression" priority="2" id="{D13B2F37-8614-1746-A4E0-B3FB28DB728B}">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sheetPr codeName="Sheet31"/>
  <dimension ref="A1:AW62"/>
  <sheetViews>
    <sheetView zoomScaleNormal="100" workbookViewId="0">
      <pane ySplit="4" topLeftCell="A5" activePane="bottomLeft" state="frozen"/>
      <selection pane="bottomLeft" activeCell="B20" sqref="B20"/>
    </sheetView>
  </sheetViews>
  <sheetFormatPr defaultColWidth="10.6640625" defaultRowHeight="15"/>
  <cols>
    <col min="1" max="1" width="30.6640625" style="35" customWidth="1"/>
    <col min="2" max="2" width="20" style="2" customWidth="1"/>
    <col min="3" max="3" width="22.77734375" style="2" customWidth="1"/>
    <col min="4" max="4" width="11" style="2" customWidth="1"/>
    <col min="5" max="5" width="11.44140625" style="2" customWidth="1"/>
    <col min="6" max="6" width="10.88671875" style="2" customWidth="1"/>
    <col min="7" max="7" width="11.6640625" style="2" customWidth="1"/>
    <col min="8" max="8" width="11.88671875" style="2" customWidth="1"/>
    <col min="9" max="9" width="11.6640625" style="2" customWidth="1"/>
    <col min="10" max="16384" width="10.6640625" style="2"/>
  </cols>
  <sheetData>
    <row r="1" spans="1:49" s="6" customFormat="1" ht="19.5" customHeight="1">
      <c r="A1" s="1" t="s">
        <v>115</v>
      </c>
    </row>
    <row r="2" spans="1:49" ht="18" customHeight="1">
      <c r="A2" s="3" t="str">
        <f ca="1">MID(CELL("filename",A1),FIND("]",CELL("filename",A1))+1,LEN(CELL("filename",A1))-FIND("]",CELL("filename",A1)))</f>
        <v>25. Sewer - Price Setting</v>
      </c>
      <c r="B2" s="1"/>
      <c r="C2" s="1"/>
      <c r="D2" s="1"/>
      <c r="E2" s="1"/>
      <c r="F2" s="1"/>
      <c r="G2" s="1"/>
      <c r="H2" s="1"/>
      <c r="I2" s="1"/>
    </row>
    <row r="3" spans="1:49" s="6" customFormat="1">
      <c r="A3" s="35"/>
      <c r="B3" s="63"/>
      <c r="C3" s="64"/>
      <c r="D3" s="162" t="s">
        <v>0</v>
      </c>
      <c r="E3" s="17">
        <v>1</v>
      </c>
      <c r="F3" s="17">
        <v>2</v>
      </c>
      <c r="G3" s="17">
        <v>3</v>
      </c>
      <c r="H3" s="17">
        <v>4</v>
      </c>
      <c r="I3" s="17">
        <v>5</v>
      </c>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row>
    <row r="4" spans="1:49" s="6" customFormat="1">
      <c r="A4" s="35"/>
      <c r="B4" s="65"/>
      <c r="C4" s="66"/>
      <c r="D4" s="163" t="s">
        <v>1</v>
      </c>
      <c r="E4" s="19" t="s">
        <v>10</v>
      </c>
      <c r="F4" s="19" t="s">
        <v>11</v>
      </c>
      <c r="G4" s="19" t="s">
        <v>2</v>
      </c>
      <c r="H4" s="19" t="s">
        <v>3</v>
      </c>
      <c r="I4" s="19" t="s">
        <v>4</v>
      </c>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row>
    <row r="5" spans="1:49" ht="15.75">
      <c r="B5" s="10" t="s">
        <v>19</v>
      </c>
    </row>
    <row r="6" spans="1:49">
      <c r="B6" s="2" t="s">
        <v>20</v>
      </c>
      <c r="E6" s="67">
        <f>'3. General Model Inputs'!E5</f>
        <v>2.5000000000000001E-2</v>
      </c>
      <c r="F6" s="67">
        <f>'3. General Model Inputs'!F5</f>
        <v>2.5000000000000001E-2</v>
      </c>
      <c r="G6" s="67">
        <f>'3. General Model Inputs'!G5</f>
        <v>2.5000000000000001E-2</v>
      </c>
      <c r="H6" s="67">
        <f>'3. General Model Inputs'!H5</f>
        <v>2.5000000000000001E-2</v>
      </c>
      <c r="I6" s="67">
        <f>'3. General Model Inputs'!I5</f>
        <v>2.5000000000000001E-2</v>
      </c>
    </row>
    <row r="7" spans="1:49">
      <c r="B7" s="2" t="s">
        <v>22</v>
      </c>
      <c r="E7" s="45">
        <f>'16. Water - MAR'!E12</f>
        <v>1</v>
      </c>
      <c r="F7" s="45">
        <f ca="1">'16. Water - MAR'!F12</f>
        <v>0.93283582089552231</v>
      </c>
      <c r="G7" s="45">
        <f ca="1">'16. Water - MAR'!G12</f>
        <v>0.87018266874582295</v>
      </c>
      <c r="H7" s="45">
        <f ca="1">'16. Water - MAR'!H12</f>
        <v>0.81173756412856612</v>
      </c>
      <c r="I7" s="45">
        <f ca="1">'16. Water - MAR'!I12</f>
        <v>0.75721787698560272</v>
      </c>
    </row>
    <row r="9" spans="1:49" ht="15.75">
      <c r="B9" s="10" t="s">
        <v>45</v>
      </c>
    </row>
    <row r="10" spans="1:49" ht="15" customHeight="1">
      <c r="B10" s="2" t="s">
        <v>93</v>
      </c>
      <c r="C10" s="2" t="s">
        <v>176</v>
      </c>
      <c r="E10" s="54">
        <f ca="1">'5. Demand Forecast Inputs'!E10</f>
        <v>162609</v>
      </c>
      <c r="F10" s="54">
        <f ca="1">'5. Demand Forecast Inputs'!F10</f>
        <v>166678</v>
      </c>
      <c r="G10" s="54">
        <f ca="1">'5. Demand Forecast Inputs'!G10</f>
        <v>170849</v>
      </c>
      <c r="H10" s="54">
        <f ca="1">'5. Demand Forecast Inputs'!H10</f>
        <v>175124</v>
      </c>
      <c r="I10" s="54">
        <f ca="1">'5. Demand Forecast Inputs'!I10</f>
        <v>179506</v>
      </c>
    </row>
    <row r="11" spans="1:49" ht="15" customHeight="1">
      <c r="B11" s="2" t="s">
        <v>95</v>
      </c>
      <c r="C11" s="2" t="s">
        <v>177</v>
      </c>
      <c r="E11" s="54">
        <f ca="1">'5. Demand Forecast Inputs'!E11</f>
        <v>60274</v>
      </c>
      <c r="F11" s="54">
        <f ca="1">'5. Demand Forecast Inputs'!F11</f>
        <v>61597</v>
      </c>
      <c r="G11" s="54">
        <f ca="1">'5. Demand Forecast Inputs'!G11</f>
        <v>62949</v>
      </c>
      <c r="H11" s="54">
        <f ca="1">'5. Demand Forecast Inputs'!H11</f>
        <v>64331</v>
      </c>
      <c r="I11" s="54">
        <f ca="1">'5. Demand Forecast Inputs'!I11</f>
        <v>65743</v>
      </c>
    </row>
    <row r="12" spans="1:49" ht="15" customHeight="1"/>
    <row r="13" spans="1:49" ht="15" customHeight="1">
      <c r="A13" s="35">
        <f>'2. Notes and Assumptions'!B72</f>
        <v>48</v>
      </c>
      <c r="B13" s="47" t="s">
        <v>107</v>
      </c>
    </row>
    <row r="14" spans="1:49" ht="15" customHeight="1">
      <c r="B14" s="10" t="s">
        <v>102</v>
      </c>
    </row>
    <row r="15" spans="1:49" ht="15" customHeight="1">
      <c r="B15" s="2" t="s">
        <v>101</v>
      </c>
      <c r="E15" s="30">
        <f ca="1">'24. Sewer - MAR'!E29</f>
        <v>109274668.38398482</v>
      </c>
      <c r="F15" s="30">
        <f ca="1">'24. Sewer - MAR'!F29</f>
        <v>114842947.57099248</v>
      </c>
      <c r="G15" s="30">
        <f ca="1">'24. Sewer - MAR'!G29</f>
        <v>119842589.39645173</v>
      </c>
      <c r="H15" s="30">
        <f ca="1">'24. Sewer - MAR'!H29</f>
        <v>129295658.22698446</v>
      </c>
      <c r="I15" s="30">
        <f ca="1">'24. Sewer - MAR'!I29</f>
        <v>139350852.20739123</v>
      </c>
    </row>
    <row r="16" spans="1:49" ht="15" customHeight="1">
      <c r="E16" s="30"/>
      <c r="F16" s="30"/>
      <c r="G16" s="30"/>
      <c r="H16" s="30"/>
      <c r="I16" s="30"/>
    </row>
    <row r="17" spans="2:10" ht="15" customHeight="1">
      <c r="D17" s="5" t="s">
        <v>113</v>
      </c>
      <c r="E17" s="136">
        <v>-0.18828119253192233</v>
      </c>
      <c r="F17" s="30"/>
      <c r="G17" s="72">
        <f>(G25/F50)/(1+$G$6)-1</f>
        <v>1.351688946509122E-2</v>
      </c>
      <c r="H17" s="30"/>
      <c r="I17" s="30"/>
      <c r="J17" s="2">
        <f>F50*(1+$G$6)*(1+G17)-G25</f>
        <v>0</v>
      </c>
    </row>
    <row r="18" spans="2:10" ht="15" customHeight="1">
      <c r="D18" s="5" t="s">
        <v>114</v>
      </c>
      <c r="E18" s="136">
        <v>0</v>
      </c>
      <c r="F18" s="30"/>
      <c r="G18" s="72">
        <f>(G26/F51)/(1+$G$6)-1</f>
        <v>1.3512315672735697E-2</v>
      </c>
      <c r="H18" s="30"/>
      <c r="I18" s="30"/>
      <c r="J18" s="2">
        <f>F51*(1+$G$6)*(1+G18)-G26</f>
        <v>0</v>
      </c>
    </row>
    <row r="19" spans="2:10" ht="15" customHeight="1"/>
    <row r="20" spans="2:10" ht="15" customHeight="1">
      <c r="B20" s="10" t="s">
        <v>103</v>
      </c>
    </row>
    <row r="21" spans="2:10" ht="15" customHeight="1">
      <c r="B21" s="2" t="s">
        <v>99</v>
      </c>
      <c r="C21" s="5" t="s">
        <v>104</v>
      </c>
      <c r="E21" s="72">
        <f>(1+E$6)*(1+$E$17)</f>
        <v>0.83201177765477952</v>
      </c>
      <c r="F21" s="72">
        <f t="shared" ref="F21:I22" si="0">(1+F$6)*(1+$E$18)</f>
        <v>1.0249999999999999</v>
      </c>
      <c r="G21" s="72">
        <f t="shared" si="0"/>
        <v>1.0249999999999999</v>
      </c>
      <c r="H21" s="72">
        <f t="shared" si="0"/>
        <v>1.0249999999999999</v>
      </c>
      <c r="I21" s="72">
        <f t="shared" si="0"/>
        <v>1.0249999999999999</v>
      </c>
    </row>
    <row r="22" spans="2:10" ht="15" customHeight="1">
      <c r="B22" s="2" t="s">
        <v>144</v>
      </c>
      <c r="C22" s="5" t="s">
        <v>104</v>
      </c>
      <c r="E22" s="72">
        <f>(1+E$6)*(1+$E$17)</f>
        <v>0.83201177765477952</v>
      </c>
      <c r="F22" s="72">
        <f t="shared" si="0"/>
        <v>1.0249999999999999</v>
      </c>
      <c r="G22" s="72">
        <f t="shared" si="0"/>
        <v>1.0249999999999999</v>
      </c>
      <c r="H22" s="72">
        <f t="shared" si="0"/>
        <v>1.0249999999999999</v>
      </c>
      <c r="I22" s="72">
        <f t="shared" si="0"/>
        <v>1.0249999999999999</v>
      </c>
    </row>
    <row r="23" spans="2:10" ht="15" customHeight="1">
      <c r="C23" s="5"/>
    </row>
    <row r="24" spans="2:10" ht="15.75">
      <c r="B24" s="10" t="s">
        <v>96</v>
      </c>
      <c r="C24" s="5"/>
    </row>
    <row r="25" spans="2:10">
      <c r="B25" s="2" t="s">
        <v>99</v>
      </c>
      <c r="C25" s="5" t="s">
        <v>97</v>
      </c>
      <c r="D25" s="192">
        <f>'3. General Model Inputs'!D91</f>
        <v>600.65</v>
      </c>
      <c r="E25" s="25">
        <f t="shared" ref="E25:I26" si="1">D25*E21</f>
        <v>499.74787424834329</v>
      </c>
      <c r="F25" s="25">
        <f t="shared" si="1"/>
        <v>512.24157110455178</v>
      </c>
      <c r="G25" s="25">
        <f t="shared" si="1"/>
        <v>525.04761038216554</v>
      </c>
      <c r="H25" s="25">
        <f t="shared" si="1"/>
        <v>538.17380064171959</v>
      </c>
      <c r="I25" s="25">
        <f t="shared" si="1"/>
        <v>551.6281456577625</v>
      </c>
    </row>
    <row r="26" spans="2:10">
      <c r="B26" s="2" t="s">
        <v>144</v>
      </c>
      <c r="C26" s="5" t="s">
        <v>145</v>
      </c>
      <c r="D26" s="192">
        <f>'3. General Model Inputs'!D92</f>
        <v>587.41999999999996</v>
      </c>
      <c r="E26" s="25">
        <f t="shared" si="1"/>
        <v>488.74035842997057</v>
      </c>
      <c r="F26" s="25">
        <f t="shared" si="1"/>
        <v>500.95886739071977</v>
      </c>
      <c r="G26" s="25">
        <f t="shared" si="1"/>
        <v>513.48283907548773</v>
      </c>
      <c r="H26" s="25">
        <f t="shared" si="1"/>
        <v>526.31991005237489</v>
      </c>
      <c r="I26" s="25">
        <f t="shared" si="1"/>
        <v>539.47790780368427</v>
      </c>
    </row>
    <row r="27" spans="2:10">
      <c r="C27" s="5"/>
    </row>
    <row r="28" spans="2:10" ht="15.75">
      <c r="B28" s="10" t="s">
        <v>105</v>
      </c>
      <c r="C28" s="5"/>
    </row>
    <row r="29" spans="2:10">
      <c r="B29" s="2" t="s">
        <v>99</v>
      </c>
      <c r="C29" s="5" t="s">
        <v>106</v>
      </c>
      <c r="E29" s="30">
        <f t="shared" ref="E29:I30" ca="1" si="2">E10*E25</f>
        <v>81263502.08364886</v>
      </c>
      <c r="F29" s="30">
        <f t="shared" ca="1" si="2"/>
        <v>85379400.588564485</v>
      </c>
      <c r="G29" s="30">
        <f t="shared" ca="1" si="2"/>
        <v>89703859.186182603</v>
      </c>
      <c r="H29" s="30">
        <f t="shared" ca="1" si="2"/>
        <v>94247148.663580507</v>
      </c>
      <c r="I29" s="30">
        <f t="shared" ca="1" si="2"/>
        <v>99020561.914442316</v>
      </c>
    </row>
    <row r="30" spans="2:10">
      <c r="B30" s="2" t="s">
        <v>144</v>
      </c>
      <c r="C30" s="5" t="s">
        <v>106</v>
      </c>
      <c r="E30" s="30">
        <f t="shared" ca="1" si="2"/>
        <v>29458336.364008047</v>
      </c>
      <c r="F30" s="30">
        <f t="shared" ca="1" si="2"/>
        <v>30857563.354666166</v>
      </c>
      <c r="G30" s="30">
        <f t="shared" ca="1" si="2"/>
        <v>32323231.236962877</v>
      </c>
      <c r="H30" s="30">
        <f t="shared" ca="1" si="2"/>
        <v>33858686.133579329</v>
      </c>
      <c r="I30" s="30">
        <f t="shared" ca="1" si="2"/>
        <v>35466896.092737615</v>
      </c>
    </row>
    <row r="32" spans="2:10">
      <c r="E32" s="73">
        <f ca="1">SUM(E29:E31)</f>
        <v>110721838.4476569</v>
      </c>
      <c r="F32" s="73">
        <f t="shared" ref="F32:I32" ca="1" si="3">SUM(F29:F31)</f>
        <v>116236963.94323066</v>
      </c>
      <c r="G32" s="73">
        <f t="shared" ca="1" si="3"/>
        <v>122027090.42314547</v>
      </c>
      <c r="H32" s="73">
        <f t="shared" ca="1" si="3"/>
        <v>128105834.79715984</v>
      </c>
      <c r="I32" s="73">
        <f t="shared" ca="1" si="3"/>
        <v>134487458.00717992</v>
      </c>
    </row>
    <row r="33" spans="1:9">
      <c r="E33" s="70"/>
      <c r="F33" s="70"/>
      <c r="G33" s="70"/>
      <c r="H33" s="70"/>
      <c r="I33" s="70"/>
    </row>
    <row r="34" spans="1:9" ht="15.75">
      <c r="B34" s="10" t="s">
        <v>109</v>
      </c>
      <c r="E34" s="70"/>
      <c r="F34" s="70"/>
      <c r="G34" s="70"/>
      <c r="H34" s="70"/>
      <c r="I34" s="70"/>
    </row>
    <row r="35" spans="1:9">
      <c r="B35" s="2" t="s">
        <v>110</v>
      </c>
      <c r="C35" s="5" t="s">
        <v>106</v>
      </c>
      <c r="D35" s="30">
        <f ca="1">SUMPRODUCT($E$7:$I$7,$E$15:$I$15)</f>
        <v>531162327.05203456</v>
      </c>
      <c r="E35" s="70"/>
      <c r="F35" s="70"/>
      <c r="G35" s="70"/>
      <c r="H35" s="70"/>
      <c r="I35" s="70"/>
    </row>
    <row r="36" spans="1:9">
      <c r="B36" s="2" t="s">
        <v>111</v>
      </c>
      <c r="C36" s="5" t="s">
        <v>106</v>
      </c>
      <c r="D36" s="30">
        <f ca="1">SUMPRODUCT($E$7:$I$7,$E$32:$I$32)</f>
        <v>531162327.0520345</v>
      </c>
      <c r="E36" s="70"/>
      <c r="F36" s="70"/>
      <c r="G36" s="70"/>
      <c r="H36" s="70"/>
      <c r="I36" s="70"/>
    </row>
    <row r="37" spans="1:9">
      <c r="B37" s="2" t="s">
        <v>112</v>
      </c>
      <c r="C37" s="5" t="s">
        <v>106</v>
      </c>
      <c r="D37" s="30">
        <f ca="1">D35-D36</f>
        <v>0</v>
      </c>
      <c r="E37" s="70"/>
      <c r="F37" s="70"/>
      <c r="G37" s="70"/>
      <c r="H37" s="70"/>
      <c r="I37" s="70"/>
    </row>
    <row r="38" spans="1:9">
      <c r="D38" s="30"/>
      <c r="E38" s="70"/>
      <c r="F38" s="70"/>
      <c r="G38" s="70"/>
      <c r="H38" s="70"/>
      <c r="I38" s="70"/>
    </row>
    <row r="39" spans="1:9" ht="15" customHeight="1">
      <c r="A39" s="35">
        <f>'2. Notes and Assumptions'!B73</f>
        <v>49</v>
      </c>
      <c r="B39" s="47" t="s">
        <v>108</v>
      </c>
    </row>
    <row r="40" spans="1:9" ht="15" customHeight="1">
      <c r="B40" s="10" t="s">
        <v>102</v>
      </c>
    </row>
    <row r="41" spans="1:9" ht="15" customHeight="1">
      <c r="B41" s="2" t="s">
        <v>101</v>
      </c>
      <c r="E41" s="30">
        <f ca="1">'24. Sewer - MAR'!E63</f>
        <v>109017280.1910591</v>
      </c>
      <c r="F41" s="30">
        <f ca="1">'24. Sewer - MAR'!F63</f>
        <v>114609958.74096125</v>
      </c>
      <c r="G41" s="30">
        <f ca="1">'24. Sewer - MAR'!G63</f>
        <v>120028237.39613526</v>
      </c>
      <c r="H41" s="30">
        <f ca="1">'24. Sewer - MAR'!H63</f>
        <v>129490544.94672237</v>
      </c>
      <c r="I41" s="30">
        <f ca="1">'24. Sewer - MAR'!I63</f>
        <v>139555437.74118268</v>
      </c>
    </row>
    <row r="42" spans="1:9" ht="15" customHeight="1">
      <c r="D42" s="5" t="s">
        <v>113</v>
      </c>
      <c r="F42" s="30"/>
      <c r="G42" s="136">
        <v>2.3774610483400658E-2</v>
      </c>
      <c r="H42" s="30"/>
      <c r="I42" s="30"/>
    </row>
    <row r="43" spans="1:9" ht="15" customHeight="1">
      <c r="D43" s="5" t="s">
        <v>114</v>
      </c>
      <c r="F43" s="30"/>
      <c r="G43" s="136">
        <v>0</v>
      </c>
      <c r="H43" s="30"/>
      <c r="I43" s="30"/>
    </row>
    <row r="44" spans="1:9" ht="15" customHeight="1"/>
    <row r="45" spans="1:9" ht="15" customHeight="1">
      <c r="B45" s="2" t="s">
        <v>103</v>
      </c>
    </row>
    <row r="46" spans="1:9" ht="15" customHeight="1">
      <c r="B46" s="2" t="s">
        <v>99</v>
      </c>
      <c r="C46" s="5" t="s">
        <v>104</v>
      </c>
      <c r="E46" s="72">
        <f t="shared" ref="E46:F47" si="4">E50/D50</f>
        <v>0.8191459252476484</v>
      </c>
      <c r="F46" s="72">
        <f t="shared" si="4"/>
        <v>1.0272143408804522</v>
      </c>
      <c r="G46" s="72">
        <f>(1+G$6)*(1+$G$42)</f>
        <v>1.0493689757454856</v>
      </c>
      <c r="H46" s="72">
        <f>(1+H$6)*(1+$G$43)</f>
        <v>1.0249999999999999</v>
      </c>
      <c r="I46" s="72">
        <f>(1+I$6)*(1+$G$43)</f>
        <v>1.0249999999999999</v>
      </c>
    </row>
    <row r="47" spans="1:9" ht="15" customHeight="1">
      <c r="B47" s="2" t="s">
        <v>144</v>
      </c>
      <c r="C47" s="5" t="s">
        <v>104</v>
      </c>
      <c r="E47" s="72">
        <f t="shared" si="4"/>
        <v>0.81914132988321819</v>
      </c>
      <c r="F47" s="72">
        <f t="shared" si="4"/>
        <v>1.0272247391828422</v>
      </c>
      <c r="G47" s="72">
        <f>(1+G$6)*(1+$G$42)</f>
        <v>1.0493689757454856</v>
      </c>
      <c r="H47" s="72">
        <f>(1+H$6)*(1+$G$43)</f>
        <v>1.0249999999999999</v>
      </c>
      <c r="I47" s="72">
        <f>(1+I$6)*(1+$G$43)</f>
        <v>1.0249999999999999</v>
      </c>
    </row>
    <row r="48" spans="1:9">
      <c r="C48" s="5"/>
    </row>
    <row r="49" spans="2:9" ht="15.75">
      <c r="B49" s="10" t="s">
        <v>96</v>
      </c>
      <c r="C49" s="5"/>
    </row>
    <row r="50" spans="2:9">
      <c r="B50" s="2" t="s">
        <v>99</v>
      </c>
      <c r="C50" s="5" t="s">
        <v>97</v>
      </c>
      <c r="D50" s="74">
        <f>'3. General Model Inputs'!D91</f>
        <v>600.65</v>
      </c>
      <c r="E50" s="74">
        <f>'3. General Model Inputs'!E91</f>
        <v>492.02</v>
      </c>
      <c r="F50" s="74">
        <f>'3. General Model Inputs'!F91</f>
        <v>505.41</v>
      </c>
      <c r="G50" s="25">
        <f t="shared" ref="G50:I51" si="5">F50*G46</f>
        <v>530.36157403152595</v>
      </c>
      <c r="H50" s="25">
        <f t="shared" si="5"/>
        <v>543.6206133823141</v>
      </c>
      <c r="I50" s="25">
        <f t="shared" si="5"/>
        <v>557.21112871687194</v>
      </c>
    </row>
    <row r="51" spans="2:9">
      <c r="B51" s="2" t="s">
        <v>144</v>
      </c>
      <c r="C51" s="5" t="s">
        <v>97</v>
      </c>
      <c r="D51" s="74">
        <f>'3. General Model Inputs'!D92</f>
        <v>587.41999999999996</v>
      </c>
      <c r="E51" s="74">
        <f>'3. General Model Inputs'!E92</f>
        <v>481.18</v>
      </c>
      <c r="F51" s="74">
        <f>'3. General Model Inputs'!F92</f>
        <v>494.28</v>
      </c>
      <c r="G51" s="25">
        <f t="shared" si="5"/>
        <v>518.68209733147864</v>
      </c>
      <c r="H51" s="25">
        <f t="shared" si="5"/>
        <v>531.64914976476553</v>
      </c>
      <c r="I51" s="25">
        <f t="shared" si="5"/>
        <v>544.94037850888458</v>
      </c>
    </row>
    <row r="52" spans="2:9">
      <c r="C52" s="5"/>
    </row>
    <row r="53" spans="2:9" ht="15.75">
      <c r="B53" s="10" t="s">
        <v>105</v>
      </c>
      <c r="C53" s="5"/>
    </row>
    <row r="54" spans="2:9">
      <c r="B54" s="2" t="s">
        <v>99</v>
      </c>
      <c r="C54" s="5" t="s">
        <v>106</v>
      </c>
      <c r="E54" s="30">
        <f t="shared" ref="E54:I55" ca="1" si="6">E10*E50</f>
        <v>80006880.179999992</v>
      </c>
      <c r="F54" s="30">
        <f t="shared" ca="1" si="6"/>
        <v>84240727.980000004</v>
      </c>
      <c r="G54" s="30">
        <f t="shared" ca="1" si="6"/>
        <v>90611744.561712176</v>
      </c>
      <c r="H54" s="30">
        <f t="shared" ca="1" si="6"/>
        <v>95201016.297964379</v>
      </c>
      <c r="I54" s="30">
        <f t="shared" ca="1" si="6"/>
        <v>100022740.87145081</v>
      </c>
    </row>
    <row r="55" spans="2:9">
      <c r="B55" s="2" t="s">
        <v>144</v>
      </c>
      <c r="C55" s="5" t="s">
        <v>106</v>
      </c>
      <c r="E55" s="30">
        <f t="shared" ca="1" si="6"/>
        <v>29002643.32</v>
      </c>
      <c r="F55" s="30">
        <f t="shared" ca="1" si="6"/>
        <v>30446165.16</v>
      </c>
      <c r="G55" s="30">
        <f t="shared" ca="1" si="6"/>
        <v>32650519.344919249</v>
      </c>
      <c r="H55" s="30">
        <f t="shared" ca="1" si="6"/>
        <v>34201521.453517132</v>
      </c>
      <c r="I55" s="30">
        <f t="shared" ca="1" si="6"/>
        <v>35826015.304309599</v>
      </c>
    </row>
    <row r="57" spans="2:9">
      <c r="E57" s="73">
        <f ca="1">SUM(E54:E56)</f>
        <v>109009523.5</v>
      </c>
      <c r="F57" s="73">
        <f t="shared" ref="F57:I57" ca="1" si="7">SUM(F54:F56)</f>
        <v>114686893.14</v>
      </c>
      <c r="G57" s="73">
        <f t="shared" ca="1" si="7"/>
        <v>123262263.90663143</v>
      </c>
      <c r="H57" s="73">
        <f t="shared" ca="1" si="7"/>
        <v>129402537.7514815</v>
      </c>
      <c r="I57" s="73">
        <f t="shared" ca="1" si="7"/>
        <v>135848756.17576042</v>
      </c>
    </row>
    <row r="58" spans="2:9">
      <c r="E58" s="70"/>
      <c r="F58" s="70"/>
      <c r="G58" s="70"/>
      <c r="H58" s="70"/>
      <c r="I58" s="70"/>
    </row>
    <row r="59" spans="2:9" ht="15.75">
      <c r="B59" s="10" t="s">
        <v>109</v>
      </c>
      <c r="E59" s="70"/>
      <c r="F59" s="70"/>
      <c r="G59" s="70"/>
      <c r="H59" s="70"/>
      <c r="I59" s="70"/>
    </row>
    <row r="60" spans="2:9">
      <c r="B60" s="2" t="s">
        <v>110</v>
      </c>
      <c r="C60" s="5" t="s">
        <v>106</v>
      </c>
      <c r="D60" s="30">
        <f ca="1">SUMPRODUCT($E$7:$I$7,$E$41:$I$41)</f>
        <v>531162258.89911962</v>
      </c>
      <c r="E60" s="70"/>
      <c r="F60" s="70"/>
      <c r="G60" s="70"/>
      <c r="H60" s="70"/>
      <c r="I60" s="70"/>
    </row>
    <row r="61" spans="2:9">
      <c r="B61" s="2" t="s">
        <v>111</v>
      </c>
      <c r="C61" s="5" t="s">
        <v>106</v>
      </c>
      <c r="D61" s="30">
        <f ca="1">SUMPRODUCT($E$7:$I$7,$E$57:$I$57)</f>
        <v>531162258.89911985</v>
      </c>
      <c r="E61" s="70"/>
      <c r="F61" s="70"/>
      <c r="G61" s="70"/>
      <c r="H61" s="70"/>
      <c r="I61" s="70"/>
    </row>
    <row r="62" spans="2:9">
      <c r="B62" s="2" t="s">
        <v>112</v>
      </c>
      <c r="C62" s="5" t="s">
        <v>106</v>
      </c>
      <c r="D62" s="30">
        <f ca="1">D60-D61</f>
        <v>0</v>
      </c>
      <c r="E62" s="70"/>
      <c r="F62" s="70"/>
      <c r="G62" s="70"/>
      <c r="H62" s="70"/>
      <c r="I62" s="70"/>
    </row>
  </sheetData>
  <pageMargins left="0" right="0" top="0" bottom="0" header="0" footer="0"/>
  <pageSetup paperSize="9" scale="85" orientation="landscape" horizontalDpi="4294967292" verticalDpi="4294967292" r:id="rId1"/>
  <legacyDrawing r:id="rId2"/>
  <extLst xmlns:x14="http://schemas.microsoft.com/office/spreadsheetml/2009/9/main">
    <ext uri="{78C0D931-6437-407d-A8EE-F0AAD7539E65}">
      <x14:conditionalFormattings>
        <x14:conditionalFormatting xmlns:xm="http://schemas.microsoft.com/office/excel/2006/main">
          <x14:cfRule type="expression" priority="1" stopIfTrue="1" id="{F4456A4B-4608-1347-AA46-5CC821A447A4}">
            <xm:f>'2. Notes and Assumptions'!$D$92="ERROR"</xm:f>
            <x14:dxf>
              <font>
                <color theme="0"/>
              </font>
              <fill>
                <patternFill patternType="solid">
                  <fgColor indexed="64"/>
                  <bgColor rgb="FFFF0000"/>
                </patternFill>
              </fill>
            </x14:dxf>
          </x14:cfRule>
          <x14:cfRule type="expression" priority="2" id="{DE992027-E570-664C-A087-DC4A739DF75E}">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sheetPr codeName="Sheet21"/>
  <dimension ref="A1:J57"/>
  <sheetViews>
    <sheetView zoomScaleNormal="100" workbookViewId="0">
      <pane ySplit="4" topLeftCell="A5" activePane="bottomLeft" state="frozen"/>
      <selection pane="bottomLeft" activeCell="A5" sqref="A5"/>
    </sheetView>
  </sheetViews>
  <sheetFormatPr defaultColWidth="10.6640625" defaultRowHeight="15"/>
  <cols>
    <col min="1" max="1" width="30.6640625" style="35" customWidth="1"/>
    <col min="2" max="2" width="52.6640625" style="2" customWidth="1"/>
    <col min="3" max="3" width="3.21875" style="2" customWidth="1"/>
    <col min="4" max="4" width="8.6640625" style="2" customWidth="1"/>
    <col min="5" max="5" width="13.109375" style="2" bestFit="1" customWidth="1"/>
    <col min="6" max="6" width="13" style="2" customWidth="1"/>
    <col min="7" max="7" width="12.5546875" style="2" customWidth="1"/>
    <col min="8" max="9" width="13" style="2" customWidth="1"/>
    <col min="10" max="16384" width="10.6640625" style="2"/>
  </cols>
  <sheetData>
    <row r="1" spans="1:9" s="6" customFormat="1" ht="24.75" customHeight="1">
      <c r="A1" s="92" t="s">
        <v>115</v>
      </c>
      <c r="B1" s="92"/>
      <c r="C1" s="92"/>
      <c r="D1" s="92"/>
      <c r="E1" s="92"/>
      <c r="F1" s="92"/>
      <c r="G1" s="92"/>
      <c r="H1" s="92"/>
    </row>
    <row r="2" spans="1:9" ht="18" customHeight="1">
      <c r="A2" s="3" t="str">
        <f ca="1">MID(CELL("filename",A1),FIND("]",CELL("filename",A1))+1,LEN(CELL("filename",A1))-FIND("]",CELL("filename",A1)))</f>
        <v>26. Financeability Tests Case 1</v>
      </c>
      <c r="B2" s="3"/>
      <c r="C2" s="3"/>
      <c r="D2" s="3"/>
      <c r="E2" s="3"/>
      <c r="F2" s="3"/>
      <c r="G2" s="3"/>
      <c r="H2" s="3"/>
    </row>
    <row r="3" spans="1:9" s="6" customFormat="1">
      <c r="A3" s="35">
        <f>'2. Notes and Assumptions'!B72</f>
        <v>48</v>
      </c>
      <c r="B3" s="63"/>
      <c r="C3" s="64"/>
      <c r="D3" s="16" t="s">
        <v>0</v>
      </c>
      <c r="E3" s="17">
        <v>1</v>
      </c>
      <c r="F3" s="17">
        <v>2</v>
      </c>
      <c r="G3" s="17">
        <v>3</v>
      </c>
      <c r="H3" s="17">
        <v>4</v>
      </c>
      <c r="I3" s="17">
        <v>5</v>
      </c>
    </row>
    <row r="4" spans="1:9" s="6" customFormat="1">
      <c r="A4" s="35"/>
      <c r="B4" s="65"/>
      <c r="C4" s="66"/>
      <c r="D4" s="18" t="s">
        <v>1</v>
      </c>
      <c r="E4" s="19" t="s">
        <v>10</v>
      </c>
      <c r="F4" s="19" t="s">
        <v>11</v>
      </c>
      <c r="G4" s="19" t="s">
        <v>2</v>
      </c>
      <c r="H4" s="19" t="s">
        <v>3</v>
      </c>
      <c r="I4" s="19" t="s">
        <v>4</v>
      </c>
    </row>
    <row r="5" spans="1:9" ht="15.75">
      <c r="B5" s="22" t="s">
        <v>84</v>
      </c>
    </row>
    <row r="6" spans="1:9">
      <c r="A6" s="35">
        <f>'2. Notes and Assumptions'!B33</f>
        <v>11</v>
      </c>
      <c r="B6" s="2" t="s">
        <v>196</v>
      </c>
      <c r="C6" s="2" t="s">
        <v>106</v>
      </c>
      <c r="E6" s="127">
        <v>77480000</v>
      </c>
      <c r="F6" s="127">
        <v>79221000</v>
      </c>
      <c r="G6" s="127">
        <v>83308000</v>
      </c>
      <c r="H6" s="127">
        <v>88937000</v>
      </c>
      <c r="I6" s="127">
        <v>95305000</v>
      </c>
    </row>
    <row r="7" spans="1:9">
      <c r="E7" s="76"/>
      <c r="F7" s="76"/>
      <c r="G7" s="76"/>
      <c r="H7" s="76"/>
      <c r="I7" s="76"/>
    </row>
    <row r="8" spans="1:9">
      <c r="A8" s="35">
        <f>'2. Notes and Assumptions'!B44</f>
        <v>21</v>
      </c>
      <c r="B8" s="2" t="s">
        <v>462</v>
      </c>
      <c r="C8" s="2" t="s">
        <v>106</v>
      </c>
      <c r="E8" s="127">
        <v>13454620.809999101</v>
      </c>
      <c r="F8" s="127">
        <f>E8</f>
        <v>13454620.809999101</v>
      </c>
      <c r="G8" s="127">
        <f t="shared" ref="G8:I8" si="0">F8</f>
        <v>13454620.809999101</v>
      </c>
      <c r="H8" s="127">
        <f t="shared" si="0"/>
        <v>13454620.809999101</v>
      </c>
      <c r="I8" s="127">
        <f t="shared" si="0"/>
        <v>13454620.809999101</v>
      </c>
    </row>
    <row r="9" spans="1:9">
      <c r="B9" s="2" t="s">
        <v>67</v>
      </c>
      <c r="C9" s="2" t="s">
        <v>106</v>
      </c>
      <c r="E9" s="127">
        <v>0</v>
      </c>
      <c r="F9" s="127">
        <v>0</v>
      </c>
      <c r="G9" s="127">
        <v>0</v>
      </c>
      <c r="H9" s="127">
        <v>0</v>
      </c>
      <c r="I9" s="127">
        <v>0</v>
      </c>
    </row>
    <row r="11" spans="1:9">
      <c r="B11" s="2" t="s">
        <v>68</v>
      </c>
      <c r="C11" s="2" t="s">
        <v>106</v>
      </c>
      <c r="E11" s="127">
        <v>50000000</v>
      </c>
      <c r="F11" s="127">
        <v>50000000</v>
      </c>
      <c r="G11" s="127">
        <v>50000000</v>
      </c>
      <c r="H11" s="127">
        <v>50000000</v>
      </c>
      <c r="I11" s="127">
        <v>50000000</v>
      </c>
    </row>
    <row r="12" spans="1:9">
      <c r="B12" s="2" t="s">
        <v>69</v>
      </c>
      <c r="C12" s="2" t="s">
        <v>106</v>
      </c>
      <c r="E12" s="127">
        <v>2038783163.2578895</v>
      </c>
      <c r="F12" s="127">
        <v>2089344524.078378</v>
      </c>
      <c r="G12" s="127">
        <v>2166583165.6344156</v>
      </c>
      <c r="H12" s="127">
        <v>2261288887.7393026</v>
      </c>
      <c r="I12" s="127">
        <v>2308246820.868475</v>
      </c>
    </row>
    <row r="13" spans="1:9">
      <c r="B13" s="2" t="s">
        <v>70</v>
      </c>
      <c r="C13" s="2" t="s">
        <v>106</v>
      </c>
      <c r="E13" s="127">
        <v>19337964.152889892</v>
      </c>
      <c r="F13" s="127">
        <v>20867939.598122261</v>
      </c>
      <c r="G13" s="127">
        <v>22963276.603074804</v>
      </c>
      <c r="H13" s="127">
        <v>325214004.13753456</v>
      </c>
      <c r="I13" s="127">
        <v>27630749.595560793</v>
      </c>
    </row>
    <row r="14" spans="1:9">
      <c r="B14" s="2" t="s">
        <v>71</v>
      </c>
      <c r="C14" s="2" t="s">
        <v>106</v>
      </c>
      <c r="E14" s="127">
        <v>1426807650.9910858</v>
      </c>
      <c r="F14" s="127">
        <v>1489415576.8779507</v>
      </c>
      <c r="G14" s="127">
        <v>1591148190.6718085</v>
      </c>
      <c r="H14" s="127">
        <v>1413461412.364944</v>
      </c>
      <c r="I14" s="127">
        <v>1780162360.9176452</v>
      </c>
    </row>
    <row r="16" spans="1:9">
      <c r="A16" s="35">
        <f>'2. Notes and Assumptions'!$B$46</f>
        <v>23</v>
      </c>
      <c r="B16" s="2" t="s">
        <v>214</v>
      </c>
      <c r="C16" s="2" t="s">
        <v>104</v>
      </c>
      <c r="E16" s="128">
        <v>0.76334095839282745</v>
      </c>
      <c r="F16" s="128">
        <v>0.75990722012451584</v>
      </c>
      <c r="G16" s="128">
        <v>0.7593301669350333</v>
      </c>
      <c r="H16" s="128">
        <v>0.75946767516435609</v>
      </c>
      <c r="I16" s="128">
        <v>0.75843478674450382</v>
      </c>
    </row>
    <row r="18" spans="1:9" ht="15.75">
      <c r="B18" s="22" t="s">
        <v>72</v>
      </c>
    </row>
    <row r="19" spans="1:9">
      <c r="B19" s="2" t="s">
        <v>73</v>
      </c>
    </row>
    <row r="20" spans="1:9">
      <c r="B20" s="2" t="s">
        <v>74</v>
      </c>
      <c r="C20" s="77" t="s">
        <v>106</v>
      </c>
      <c r="E20" s="30">
        <f ca="1">'27. Financeability Tests Case 2'!E20</f>
        <v>168799344.27082741</v>
      </c>
      <c r="F20" s="30">
        <f ca="1">'27. Financeability Tests Case 2'!F20</f>
        <v>179775870.77865189</v>
      </c>
      <c r="G20" s="30">
        <f ca="1">'16. Water - MAR'!G32</f>
        <v>179332653.91258055</v>
      </c>
      <c r="H20" s="30">
        <f ca="1">'16. Water - MAR'!H32</f>
        <v>185174634.657022</v>
      </c>
      <c r="I20" s="30">
        <f ca="1">'16. Water - MAR'!I32</f>
        <v>191433673.72306222</v>
      </c>
    </row>
    <row r="21" spans="1:9">
      <c r="B21" s="2" t="s">
        <v>85</v>
      </c>
      <c r="C21" s="77" t="s">
        <v>106</v>
      </c>
      <c r="E21" s="30">
        <f ca="1">'27. Financeability Tests Case 2'!E21</f>
        <v>109009523.5</v>
      </c>
      <c r="F21" s="30">
        <f ca="1">'27. Financeability Tests Case 2'!F21</f>
        <v>114686893.14</v>
      </c>
      <c r="G21" s="30">
        <f ca="1">'24. Sewer - MAR'!G32</f>
        <v>122027090.42314547</v>
      </c>
      <c r="H21" s="30">
        <f ca="1">'24. Sewer - MAR'!H32</f>
        <v>128105834.79715984</v>
      </c>
      <c r="I21" s="30">
        <f ca="1">'24. Sewer - MAR'!I32</f>
        <v>134487458.00717992</v>
      </c>
    </row>
    <row r="22" spans="1:9">
      <c r="B22" s="2" t="s">
        <v>33</v>
      </c>
      <c r="C22" s="77" t="s">
        <v>106</v>
      </c>
      <c r="E22" s="30">
        <f>-SUM('3. General Model Inputs'!E80,'3. General Model Inputs'!E84)</f>
        <v>24806752.55721055</v>
      </c>
      <c r="F22" s="30">
        <f>-SUM('3. General Model Inputs'!F80,'3. General Model Inputs'!F84)</f>
        <v>25429608.732010439</v>
      </c>
      <c r="G22" s="30">
        <f>-SUM('3. General Model Inputs'!G80,'3. General Model Inputs'!G84)</f>
        <v>26068192.323308155</v>
      </c>
      <c r="H22" s="30">
        <f>-SUM('3. General Model Inputs'!H80,'3. General Model Inputs'!H84)</f>
        <v>26722905.583902799</v>
      </c>
      <c r="I22" s="30">
        <f>-SUM('3. General Model Inputs'!I80,'3. General Model Inputs'!I84)</f>
        <v>27394161.347335484</v>
      </c>
    </row>
    <row r="23" spans="1:9">
      <c r="B23" s="2" t="s">
        <v>75</v>
      </c>
      <c r="C23" s="77" t="s">
        <v>106</v>
      </c>
      <c r="E23" s="30">
        <f ca="1">SUM(E20:E22)</f>
        <v>302615620.32803798</v>
      </c>
      <c r="F23" s="30">
        <f t="shared" ref="F23:H23" ca="1" si="1">SUM(F20:F22)</f>
        <v>319892372.6506623</v>
      </c>
      <c r="G23" s="30">
        <f t="shared" ca="1" si="1"/>
        <v>327427936.65903419</v>
      </c>
      <c r="H23" s="30">
        <f t="shared" ca="1" si="1"/>
        <v>340003375.03808463</v>
      </c>
      <c r="I23" s="30">
        <f t="shared" ref="I23" ca="1" si="2">SUM(I20:I22)</f>
        <v>353315293.07757759</v>
      </c>
    </row>
    <row r="25" spans="1:9">
      <c r="B25" s="2" t="s">
        <v>76</v>
      </c>
      <c r="C25" s="77" t="s">
        <v>106</v>
      </c>
      <c r="E25" s="30">
        <f ca="1">-('3. General Model Inputs'!E71+'3. General Model Inputs'!E75)</f>
        <v>-162956955.49676025</v>
      </c>
      <c r="F25" s="30">
        <f ca="1">-('3. General Model Inputs'!F71+'3. General Model Inputs'!F75)</f>
        <v>-170928164.36190724</v>
      </c>
      <c r="G25" s="30">
        <f ca="1">-('3. General Model Inputs'!G71+'3. General Model Inputs'!G75)</f>
        <v>-173759042.69393849</v>
      </c>
      <c r="H25" s="30">
        <f ca="1">-('3. General Model Inputs'!H71+'3. General Model Inputs'!H75)</f>
        <v>-178228412.81674147</v>
      </c>
      <c r="I25" s="30">
        <f ca="1">-('3. General Model Inputs'!I71+'3. General Model Inputs'!I75)</f>
        <v>-184213661.98339218</v>
      </c>
    </row>
    <row r="27" spans="1:9">
      <c r="B27" s="2" t="s">
        <v>77</v>
      </c>
      <c r="C27" s="77" t="s">
        <v>106</v>
      </c>
      <c r="E27" s="30">
        <f ca="1">E23+E25</f>
        <v>139658664.83127773</v>
      </c>
      <c r="F27" s="30">
        <f ca="1">F23+F25</f>
        <v>148964208.28875506</v>
      </c>
      <c r="G27" s="30">
        <f ca="1">G23+G25</f>
        <v>153668893.9650957</v>
      </c>
      <c r="H27" s="30">
        <f ca="1">H23+H25</f>
        <v>161774962.22134316</v>
      </c>
      <c r="I27" s="30">
        <f ca="1">I23+I25</f>
        <v>169101631.09418541</v>
      </c>
    </row>
    <row r="29" spans="1:9">
      <c r="A29" s="35">
        <f>'2. Notes and Assumptions'!B34</f>
        <v>12</v>
      </c>
      <c r="B29" s="2" t="s">
        <v>13</v>
      </c>
      <c r="C29" s="77" t="s">
        <v>106</v>
      </c>
      <c r="E29" s="30">
        <f ca="1">-('16. Water - MAR'!E27+'24. Sewer - MAR'!E26+E8*2/3)</f>
        <v>-50237188.92713666</v>
      </c>
      <c r="F29" s="30">
        <f ca="1">-('16. Water - MAR'!F27+'24. Sewer - MAR'!F26+F8*2/3)</f>
        <v>-54219814.148637153</v>
      </c>
      <c r="G29" s="30">
        <f ca="1">-('16. Water - MAR'!G27+'24. Sewer - MAR'!G26+G8*2/3)</f>
        <v>-56648997.578918569</v>
      </c>
      <c r="H29" s="30">
        <f ca="1">-('16. Water - MAR'!H27+'24. Sewer - MAR'!H26+H8*2/3)</f>
        <v>-61167910.252260461</v>
      </c>
      <c r="I29" s="30">
        <f ca="1">-('16. Water - MAR'!I27+'24. Sewer - MAR'!I26+I8*2/3)</f>
        <v>-66205274.301655173</v>
      </c>
    </row>
    <row r="31" spans="1:9">
      <c r="B31" s="2" t="s">
        <v>78</v>
      </c>
      <c r="C31" s="77" t="s">
        <v>106</v>
      </c>
      <c r="E31" s="30">
        <f ca="1">E27+E29</f>
        <v>89421475.904141068</v>
      </c>
      <c r="F31" s="30">
        <f ca="1">F27+F29</f>
        <v>94744394.140117913</v>
      </c>
      <c r="G31" s="30">
        <f ca="1">G27+G29</f>
        <v>97019896.386177123</v>
      </c>
      <c r="H31" s="30">
        <f ca="1">H27+H29</f>
        <v>100607051.9690827</v>
      </c>
      <c r="I31" s="30">
        <f ca="1">I27+I29</f>
        <v>102896356.79253024</v>
      </c>
    </row>
    <row r="33" spans="1:9">
      <c r="A33" s="35">
        <f>'2. Notes and Assumptions'!B35</f>
        <v>13</v>
      </c>
      <c r="B33" s="2" t="s">
        <v>79</v>
      </c>
      <c r="C33" s="77" t="s">
        <v>106</v>
      </c>
      <c r="E33" s="30">
        <f>-(E6*(E16)+E8/3+E9)</f>
        <v>-63628531.059609301</v>
      </c>
      <c r="F33" s="30">
        <f>-(F6*(F16)+F8/3+F9)</f>
        <v>-64685483.488817304</v>
      </c>
      <c r="G33" s="30">
        <f>-(G6*(G16)+G8/3+G9)</f>
        <v>-67743151.150356784</v>
      </c>
      <c r="H33" s="30">
        <f>-(H6*(H16)+H8/3+H9)</f>
        <v>-72029650.229425371</v>
      </c>
      <c r="I33" s="30">
        <f>-(I6*(I16)+I8/3+I9)</f>
        <v>-76767500.954017967</v>
      </c>
    </row>
    <row r="34" spans="1:9">
      <c r="A34" s="35">
        <f>'2. Notes and Assumptions'!$B$46</f>
        <v>23</v>
      </c>
    </row>
    <row r="35" spans="1:9">
      <c r="B35" s="2" t="s">
        <v>80</v>
      </c>
      <c r="C35" s="2" t="s">
        <v>106</v>
      </c>
      <c r="E35" s="30">
        <f ca="1">E31+E33</f>
        <v>25792944.844531767</v>
      </c>
      <c r="F35" s="30">
        <f ca="1">F31+F33</f>
        <v>30058910.651300609</v>
      </c>
      <c r="G35" s="30">
        <f ca="1">G31+G33</f>
        <v>29276745.235820338</v>
      </c>
      <c r="H35" s="30">
        <f ca="1">H31+H33</f>
        <v>28577401.739657328</v>
      </c>
      <c r="I35" s="30">
        <f ca="1">I31+I33</f>
        <v>26128855.838512272</v>
      </c>
    </row>
    <row r="37" spans="1:9">
      <c r="A37" s="35">
        <f>'2. Notes and Assumptions'!B36</f>
        <v>14</v>
      </c>
      <c r="B37" s="2" t="s">
        <v>81</v>
      </c>
      <c r="C37" s="77" t="s">
        <v>106</v>
      </c>
      <c r="E37" s="30">
        <f ca="1">-('16. Water - MAR'!E29+'24. Sewer - MAR'!E28)-E9*'3. General Model Inputs'!E$11</f>
        <v>-3079483.4267156036</v>
      </c>
      <c r="F37" s="30">
        <f ca="1">-('16. Water - MAR'!F29+'24. Sewer - MAR'!F28)-F9*'3. General Model Inputs'!F$11</f>
        <v>-3489406.1405652072</v>
      </c>
      <c r="G37" s="30">
        <f ca="1">-('16. Water - MAR'!G29+'24. Sewer - MAR'!G28)-G9*'3. General Model Inputs'!G$11</f>
        <v>-4820461.8657048224</v>
      </c>
      <c r="H37" s="30">
        <f ca="1">-('16. Water - MAR'!H29+'24. Sewer - MAR'!H28)-H9*'3. General Model Inputs'!H$11</f>
        <v>-4858049.0595630882</v>
      </c>
      <c r="I37" s="30">
        <f ca="1">-('16. Water - MAR'!I29+'24. Sewer - MAR'!I28)-I9*'3. General Model Inputs'!I$11</f>
        <v>-4429988.6078245509</v>
      </c>
    </row>
    <row r="39" spans="1:9">
      <c r="B39" s="2" t="s">
        <v>82</v>
      </c>
      <c r="C39" s="77" t="s">
        <v>106</v>
      </c>
      <c r="E39" s="30">
        <f ca="1">E35+E37</f>
        <v>22713461.417816162</v>
      </c>
      <c r="F39" s="30">
        <f t="shared" ref="F39:H39" ca="1" si="3">F35+F37</f>
        <v>26569504.5107354</v>
      </c>
      <c r="G39" s="30">
        <f t="shared" ca="1" si="3"/>
        <v>24456283.370115515</v>
      </c>
      <c r="H39" s="30">
        <f t="shared" ca="1" si="3"/>
        <v>23719352.680094238</v>
      </c>
      <c r="I39" s="30">
        <f t="shared" ref="I39" ca="1" si="4">I35+I37</f>
        <v>21698867.230687723</v>
      </c>
    </row>
    <row r="41" spans="1:9" ht="15.75">
      <c r="B41" s="22" t="s">
        <v>83</v>
      </c>
    </row>
    <row r="42" spans="1:9">
      <c r="A42" s="35">
        <f>'2. Notes and Assumptions'!B37</f>
        <v>15</v>
      </c>
      <c r="B42" s="78" t="s">
        <v>463</v>
      </c>
      <c r="D42" s="79"/>
      <c r="E42" s="80">
        <f ca="1">(E27+E37)/-E33</f>
        <v>2.1465084786667514</v>
      </c>
      <c r="F42" s="80">
        <f t="shared" ref="F42:H42" ca="1" si="5">(F27+F37)/-F33</f>
        <v>2.2489559372828873</v>
      </c>
      <c r="G42" s="80">
        <f t="shared" ca="1" si="5"/>
        <v>2.1972469477987504</v>
      </c>
      <c r="H42" s="80">
        <f t="shared" ca="1" si="5"/>
        <v>2.1785044445166104</v>
      </c>
      <c r="I42" s="80">
        <f t="shared" ref="I42" ca="1" si="6">(I27+I37)/-I33</f>
        <v>2.145069729246436</v>
      </c>
    </row>
    <row r="43" spans="1:9">
      <c r="D43" s="79"/>
    </row>
    <row r="44" spans="1:9">
      <c r="A44" s="35">
        <f>'2. Notes and Assumptions'!B38</f>
        <v>16</v>
      </c>
      <c r="B44" s="2" t="s">
        <v>464</v>
      </c>
      <c r="D44" s="81"/>
      <c r="E44" s="82">
        <f>(E13+E8*7+E14*(E16)-E11)/('16. Water - MAR'!E17+'24. Sewer - MAR'!E16)</f>
        <v>0.56148085803308623</v>
      </c>
      <c r="F44" s="82">
        <f ca="1">(F13+F8*7+F14*(F16)-F11)/('16. Water - MAR'!F17+'24. Sewer - MAR'!F16)</f>
        <v>0.56404495004136745</v>
      </c>
      <c r="G44" s="82">
        <f ca="1">(G13+G8*7+G14*(G16)-G11)/('16. Water - MAR'!G17+'24. Sewer - MAR'!G16)</f>
        <v>0.5777741699185367</v>
      </c>
      <c r="H44" s="82">
        <f ca="1">(H13+H8*7+H14*(H16)-H11)/('16. Water - MAR'!H17+'24. Sewer - MAR'!H16)</f>
        <v>0.61946331400735943</v>
      </c>
      <c r="I44" s="82">
        <f ca="1">(I13+I8*7+I14*(I16)-I11)/('16. Water - MAR'!I17+'24. Sewer - MAR'!I16)</f>
        <v>0.57783578796421142</v>
      </c>
    </row>
    <row r="45" spans="1:9">
      <c r="A45" s="35">
        <f>'2. Notes and Assumptions'!B39</f>
        <v>17</v>
      </c>
      <c r="D45" s="79"/>
    </row>
    <row r="46" spans="1:9">
      <c r="B46" s="2" t="s">
        <v>465</v>
      </c>
      <c r="D46" s="81"/>
      <c r="E46" s="24">
        <f ca="1">(E27+E33+E37)/(E13+E8*7+E14*(E16)-E11)</f>
        <v>6.3288901483899498E-2</v>
      </c>
      <c r="F46" s="24">
        <f ca="1">(F27+F33+F37)/(F13+F8*7+F14*(F16)-F11)</f>
        <v>6.7500612420015718E-2</v>
      </c>
      <c r="G46" s="24">
        <f ca="1">(G27+G33+G37)/(G13+G8*7+G14*(G16)-G11)</f>
        <v>6.359440589265368E-2</v>
      </c>
      <c r="H46" s="24">
        <f ca="1">(H27+H33+H37)/(H13+H8*7+H14*(H16)-H11)</f>
        <v>5.8832044572639332E-2</v>
      </c>
      <c r="I46" s="24">
        <f ca="1">(I27+I33+I37)/(I13+I8*7+I14*(I16)-I11)</f>
        <v>6.1819425365507025E-2</v>
      </c>
    </row>
    <row r="47" spans="1:9">
      <c r="D47" s="79"/>
    </row>
    <row r="48" spans="1:9">
      <c r="A48" s="35">
        <f>'2. Notes and Assumptions'!B40</f>
        <v>18</v>
      </c>
      <c r="B48" s="2" t="s">
        <v>466</v>
      </c>
      <c r="D48" s="79"/>
      <c r="E48" s="83">
        <f ca="1">(E27+E33+E37)*60%/('13. Water - Capex RAB'!D11+'21. Sewer - Capex RAB'!D11)</f>
        <v>0.82972957222036137</v>
      </c>
      <c r="F48" s="83">
        <f ca="1">(F27+F33+F37)*60%/('13. Water - Capex RAB'!E11+'21. Sewer - Capex RAB'!E11)</f>
        <v>0.74320198884651556</v>
      </c>
      <c r="G48" s="83">
        <f ca="1">(G27+G33+G37)*60%/('13. Water - Capex RAB'!F11+'21. Sewer - Capex RAB'!F11)</f>
        <v>0.54060914603848687</v>
      </c>
      <c r="H48" s="83">
        <f ca="1">(H27+H33+H37)*60%/('13. Water - Capex RAB'!G11+'21. Sewer - Capex RAB'!G11)</f>
        <v>0.36712527629187963</v>
      </c>
      <c r="I48" s="83">
        <f ca="1">(I27+I33+I37)*60%/('13. Water - Capex RAB'!H11+'21. Sewer - Capex RAB'!H11)</f>
        <v>0.46933905016584021</v>
      </c>
    </row>
    <row r="50" spans="2:10" ht="15.75">
      <c r="B50" s="10" t="s">
        <v>218</v>
      </c>
    </row>
    <row r="51" spans="2:10">
      <c r="B51" s="2" t="s">
        <v>219</v>
      </c>
      <c r="C51" s="77" t="s">
        <v>106</v>
      </c>
      <c r="E51" s="30">
        <f ca="1">(E27+E33+E37)</f>
        <v>72950650.344952837</v>
      </c>
      <c r="F51" s="30">
        <f t="shared" ref="F51:I51" ca="1" si="7">(F27+F33+F37)</f>
        <v>80789318.659372553</v>
      </c>
      <c r="G51" s="30">
        <f t="shared" ca="1" si="7"/>
        <v>81105280.949034095</v>
      </c>
      <c r="H51" s="30">
        <f t="shared" ca="1" si="7"/>
        <v>84887262.932354704</v>
      </c>
      <c r="I51" s="30">
        <f t="shared" ca="1" si="7"/>
        <v>87904141.532342896</v>
      </c>
    </row>
    <row r="53" spans="2:10">
      <c r="B53" s="2" t="s">
        <v>220</v>
      </c>
      <c r="C53" s="77" t="s">
        <v>106</v>
      </c>
      <c r="E53" s="30">
        <f ca="1">('16. Water - MAR'!E17+'24. Sewer - MAR'!E16)*'3. General Model Inputs'!E12</f>
        <v>1231736768.6697328</v>
      </c>
      <c r="F53" s="30">
        <f ca="1">('16. Water - MAR'!F17+'24. Sewer - MAR'!F16)*'3. General Model Inputs'!F12</f>
        <v>1273162292.2773929</v>
      </c>
      <c r="G53" s="30">
        <f ca="1">('16. Water - MAR'!G17+'24. Sewer - MAR'!G16)*'3. General Model Inputs'!G12</f>
        <v>1324412730.6979685</v>
      </c>
      <c r="H53" s="30">
        <f ca="1">('16. Water - MAR'!H17+'24. Sewer - MAR'!H16)*'3. General Model Inputs'!H12</f>
        <v>1397540002.7389362</v>
      </c>
      <c r="I53" s="30">
        <f ca="1">('16. Water - MAR'!I17+'24. Sewer - MAR'!I16)*'3. General Model Inputs'!I12</f>
        <v>1476492303.3048174</v>
      </c>
    </row>
    <row r="54" spans="2:10">
      <c r="B54" s="2" t="s">
        <v>221</v>
      </c>
      <c r="C54" s="77" t="s">
        <v>106</v>
      </c>
      <c r="F54" s="30">
        <f ca="1">F53-E53</f>
        <v>41425523.607660055</v>
      </c>
      <c r="G54" s="30">
        <f t="shared" ref="G54:I54" ca="1" si="8">G53-F53</f>
        <v>51250438.420575619</v>
      </c>
      <c r="H54" s="30">
        <f t="shared" ca="1" si="8"/>
        <v>73127272.040967703</v>
      </c>
      <c r="I54" s="30">
        <f t="shared" ca="1" si="8"/>
        <v>78952300.565881252</v>
      </c>
      <c r="J54" s="30">
        <f ca="1">SUM(F54:I54)</f>
        <v>244755534.63508463</v>
      </c>
    </row>
    <row r="56" spans="2:10">
      <c r="B56" s="2" t="s">
        <v>222</v>
      </c>
      <c r="C56" s="77" t="s">
        <v>106</v>
      </c>
      <c r="E56" s="30">
        <f>(E13+E8*7+E14*(E16)-E11)</f>
        <v>1152661029.5726378</v>
      </c>
      <c r="F56" s="30">
        <f t="shared" ref="F56:I56" si="9">(F13+F8*7+F14*(F16)-F11)</f>
        <v>1196867935.9035916</v>
      </c>
      <c r="G56" s="30">
        <f t="shared" si="9"/>
        <v>1275352443.5142689</v>
      </c>
      <c r="H56" s="30">
        <f t="shared" si="9"/>
        <v>1442874602.5908594</v>
      </c>
      <c r="I56" s="30">
        <f t="shared" si="9"/>
        <v>1421950155.838721</v>
      </c>
    </row>
    <row r="57" spans="2:10">
      <c r="B57" s="2" t="s">
        <v>221</v>
      </c>
      <c r="C57" s="77" t="s">
        <v>106</v>
      </c>
      <c r="F57" s="30">
        <f>F56-E56</f>
        <v>44206906.330953836</v>
      </c>
      <c r="G57" s="30">
        <f t="shared" ref="G57" si="10">G56-F56</f>
        <v>78484507.610677242</v>
      </c>
      <c r="H57" s="30">
        <f t="shared" ref="H57" si="11">H56-G56</f>
        <v>167522159.07659054</v>
      </c>
      <c r="I57" s="30">
        <f t="shared" ref="I57" si="12">I56-H56</f>
        <v>-20924446.752138376</v>
      </c>
      <c r="J57" s="30">
        <f>SUM(F57:I57)</f>
        <v>269289126.26608324</v>
      </c>
    </row>
  </sheetData>
  <pageMargins left="0" right="0" top="0" bottom="0" header="0" footer="0"/>
  <pageSetup paperSize="9" scale="80"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C513DDE0-0CA1-0842-9C42-D1997EAFD0D9}">
            <xm:f>'2. Notes and Assumptions'!$D$92="ERROR"</xm:f>
            <x14:dxf>
              <font>
                <color theme="0"/>
              </font>
              <fill>
                <patternFill patternType="solid">
                  <fgColor indexed="64"/>
                  <bgColor rgb="FFFF0000"/>
                </patternFill>
              </fill>
            </x14:dxf>
          </x14:cfRule>
          <x14:cfRule type="expression" priority="2" id="{0EA44DDD-5540-1E41-963D-44B2A08F6BB5}">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sheetPr codeName="Sheet32"/>
  <dimension ref="A1:J123"/>
  <sheetViews>
    <sheetView zoomScaleNormal="100" workbookViewId="0">
      <pane ySplit="4" topLeftCell="A5" activePane="bottomLeft" state="frozen"/>
      <selection pane="bottomLeft" activeCell="B39" sqref="B39"/>
    </sheetView>
  </sheetViews>
  <sheetFormatPr defaultColWidth="10.6640625" defaultRowHeight="15"/>
  <cols>
    <col min="1" max="1" width="30.5546875" style="35" customWidth="1"/>
    <col min="2" max="2" width="56.44140625" style="2" customWidth="1"/>
    <col min="3" max="3" width="3.88671875" style="2" customWidth="1"/>
    <col min="4" max="4" width="8.88671875" style="2" customWidth="1"/>
    <col min="5" max="5" width="12.33203125" style="2" customWidth="1"/>
    <col min="6" max="6" width="13" style="2" customWidth="1"/>
    <col min="7" max="7" width="12.6640625" style="2" customWidth="1"/>
    <col min="8" max="8" width="12.77734375" style="2" customWidth="1"/>
    <col min="9" max="9" width="12.109375" style="2" customWidth="1"/>
    <col min="10" max="16384" width="10.6640625" style="2"/>
  </cols>
  <sheetData>
    <row r="1" spans="1:9" s="6" customFormat="1" ht="22.5" customHeight="1">
      <c r="A1" s="92" t="s">
        <v>115</v>
      </c>
      <c r="B1" s="92"/>
      <c r="C1" s="92"/>
      <c r="D1" s="92"/>
      <c r="E1" s="92"/>
      <c r="F1" s="92"/>
      <c r="G1" s="92"/>
      <c r="H1" s="92"/>
    </row>
    <row r="2" spans="1:9" ht="18" customHeight="1">
      <c r="A2" s="3" t="str">
        <f ca="1">MID(CELL("filename",A1),FIND("]",CELL("filename",A1))+1,LEN(CELL("filename",A1))-FIND("]",CELL("filename",A1)))</f>
        <v>27. Financeability Tests Case 2</v>
      </c>
      <c r="B2" s="3"/>
      <c r="C2" s="3"/>
      <c r="D2" s="3"/>
      <c r="E2" s="3"/>
      <c r="F2" s="3"/>
      <c r="G2" s="3"/>
      <c r="H2" s="3"/>
    </row>
    <row r="3" spans="1:9" s="6" customFormat="1">
      <c r="A3" s="35">
        <f>'2. Notes and Assumptions'!B73</f>
        <v>49</v>
      </c>
      <c r="B3" s="63"/>
      <c r="C3" s="64"/>
      <c r="D3" s="16" t="s">
        <v>0</v>
      </c>
      <c r="E3" s="17">
        <v>1</v>
      </c>
      <c r="F3" s="17">
        <v>2</v>
      </c>
      <c r="G3" s="17">
        <v>3</v>
      </c>
      <c r="H3" s="17">
        <v>4</v>
      </c>
      <c r="I3" s="17">
        <v>5</v>
      </c>
    </row>
    <row r="4" spans="1:9" s="6" customFormat="1">
      <c r="A4" s="35"/>
      <c r="B4" s="65"/>
      <c r="C4" s="66"/>
      <c r="D4" s="18" t="s">
        <v>1</v>
      </c>
      <c r="E4" s="19" t="s">
        <v>10</v>
      </c>
      <c r="F4" s="19" t="s">
        <v>11</v>
      </c>
      <c r="G4" s="19" t="s">
        <v>2</v>
      </c>
      <c r="H4" s="19" t="s">
        <v>3</v>
      </c>
      <c r="I4" s="19" t="s">
        <v>4</v>
      </c>
    </row>
    <row r="5" spans="1:9" ht="15.75">
      <c r="B5" s="22" t="s">
        <v>84</v>
      </c>
    </row>
    <row r="6" spans="1:9">
      <c r="A6" s="35">
        <f>'2. Notes and Assumptions'!B33</f>
        <v>11</v>
      </c>
      <c r="B6" s="2" t="s">
        <v>196</v>
      </c>
      <c r="C6" s="2" t="s">
        <v>106</v>
      </c>
      <c r="E6" s="61">
        <f>'26. Financeability Tests Case 1'!E6</f>
        <v>77480000</v>
      </c>
      <c r="F6" s="61">
        <f>'26. Financeability Tests Case 1'!F6</f>
        <v>79221000</v>
      </c>
      <c r="G6" s="61">
        <f>'26. Financeability Tests Case 1'!G6</f>
        <v>83308000</v>
      </c>
      <c r="H6" s="61">
        <f>'26. Financeability Tests Case 1'!H6</f>
        <v>88937000</v>
      </c>
      <c r="I6" s="61">
        <f>'26. Financeability Tests Case 1'!I6</f>
        <v>95305000</v>
      </c>
    </row>
    <row r="7" spans="1:9">
      <c r="E7" s="76"/>
      <c r="F7" s="76"/>
      <c r="G7" s="76"/>
      <c r="H7" s="76"/>
      <c r="I7" s="76"/>
    </row>
    <row r="8" spans="1:9">
      <c r="A8" s="35">
        <f>'2. Notes and Assumptions'!B44</f>
        <v>21</v>
      </c>
      <c r="B8" s="2" t="s">
        <v>462</v>
      </c>
      <c r="C8" s="2" t="s">
        <v>106</v>
      </c>
      <c r="E8" s="61">
        <f>'26. Financeability Tests Case 1'!E8</f>
        <v>13454620.809999101</v>
      </c>
      <c r="F8" s="61">
        <f>'26. Financeability Tests Case 1'!F8</f>
        <v>13454620.809999101</v>
      </c>
      <c r="G8" s="61">
        <f>'26. Financeability Tests Case 1'!G8</f>
        <v>13454620.809999101</v>
      </c>
      <c r="H8" s="61">
        <f>'26. Financeability Tests Case 1'!H8</f>
        <v>13454620.809999101</v>
      </c>
      <c r="I8" s="61">
        <f>'26. Financeability Tests Case 1'!I8</f>
        <v>13454620.809999101</v>
      </c>
    </row>
    <row r="9" spans="1:9">
      <c r="B9" s="2" t="s">
        <v>67</v>
      </c>
      <c r="C9" s="2" t="s">
        <v>106</v>
      </c>
      <c r="E9" s="61">
        <f>'26. Financeability Tests Case 1'!E9</f>
        <v>0</v>
      </c>
      <c r="F9" s="61">
        <f>'26. Financeability Tests Case 1'!F9</f>
        <v>0</v>
      </c>
      <c r="G9" s="61">
        <f>'26. Financeability Tests Case 1'!G9</f>
        <v>0</v>
      </c>
      <c r="H9" s="61">
        <f>'26. Financeability Tests Case 1'!H9</f>
        <v>0</v>
      </c>
      <c r="I9" s="61">
        <f>'26. Financeability Tests Case 1'!I9</f>
        <v>0</v>
      </c>
    </row>
    <row r="11" spans="1:9">
      <c r="B11" s="2" t="s">
        <v>68</v>
      </c>
      <c r="C11" s="2" t="s">
        <v>106</v>
      </c>
      <c r="E11" s="61">
        <f>'26. Financeability Tests Case 1'!E11</f>
        <v>50000000</v>
      </c>
      <c r="F11" s="61">
        <f>'26. Financeability Tests Case 1'!F11</f>
        <v>50000000</v>
      </c>
      <c r="G11" s="61">
        <f>'26. Financeability Tests Case 1'!G11</f>
        <v>50000000</v>
      </c>
      <c r="H11" s="61">
        <f>'26. Financeability Tests Case 1'!H11</f>
        <v>50000000</v>
      </c>
      <c r="I11" s="61">
        <f>'26. Financeability Tests Case 1'!I11</f>
        <v>50000000</v>
      </c>
    </row>
    <row r="12" spans="1:9">
      <c r="B12" s="2" t="s">
        <v>69</v>
      </c>
      <c r="C12" s="2" t="s">
        <v>106</v>
      </c>
      <c r="E12" s="61">
        <f>'26. Financeability Tests Case 1'!E12</f>
        <v>2038783163.2578895</v>
      </c>
      <c r="F12" s="61">
        <f>'26. Financeability Tests Case 1'!F12</f>
        <v>2089344524.078378</v>
      </c>
      <c r="G12" s="61">
        <f>'26. Financeability Tests Case 1'!G12</f>
        <v>2166583165.6344156</v>
      </c>
      <c r="H12" s="61">
        <f>'26. Financeability Tests Case 1'!H12</f>
        <v>2261288887.7393026</v>
      </c>
      <c r="I12" s="61">
        <f>'26. Financeability Tests Case 1'!I12</f>
        <v>2308246820.868475</v>
      </c>
    </row>
    <row r="13" spans="1:9">
      <c r="B13" s="2" t="s">
        <v>70</v>
      </c>
      <c r="C13" s="2" t="s">
        <v>106</v>
      </c>
      <c r="E13" s="61">
        <f>'26. Financeability Tests Case 1'!E13</f>
        <v>19337964.152889892</v>
      </c>
      <c r="F13" s="61">
        <f>'26. Financeability Tests Case 1'!F13</f>
        <v>20867939.598122261</v>
      </c>
      <c r="G13" s="61">
        <f>'26. Financeability Tests Case 1'!G13</f>
        <v>22963276.603074804</v>
      </c>
      <c r="H13" s="61">
        <f>'26. Financeability Tests Case 1'!H13</f>
        <v>325214004.13753456</v>
      </c>
      <c r="I13" s="61">
        <f>'26. Financeability Tests Case 1'!I13</f>
        <v>27630749.595560793</v>
      </c>
    </row>
    <row r="14" spans="1:9">
      <c r="B14" s="2" t="s">
        <v>71</v>
      </c>
      <c r="C14" s="2" t="s">
        <v>106</v>
      </c>
      <c r="E14" s="61">
        <f>'26. Financeability Tests Case 1'!E14</f>
        <v>1426807650.9910858</v>
      </c>
      <c r="F14" s="61">
        <f>'26. Financeability Tests Case 1'!F14</f>
        <v>1489415576.8779507</v>
      </c>
      <c r="G14" s="61">
        <f>'26. Financeability Tests Case 1'!G14</f>
        <v>1591148190.6718085</v>
      </c>
      <c r="H14" s="61">
        <f>'26. Financeability Tests Case 1'!H14</f>
        <v>1413461412.364944</v>
      </c>
      <c r="I14" s="61">
        <f>'26. Financeability Tests Case 1'!I14</f>
        <v>1780162360.9176452</v>
      </c>
    </row>
    <row r="16" spans="1:9">
      <c r="A16" s="35">
        <f>'2. Notes and Assumptions'!$B$46</f>
        <v>23</v>
      </c>
      <c r="B16" s="2" t="s">
        <v>214</v>
      </c>
      <c r="C16" s="2" t="s">
        <v>104</v>
      </c>
      <c r="E16" s="84">
        <f>'26. Financeability Tests Case 1'!E16</f>
        <v>0.76334095839282745</v>
      </c>
      <c r="F16" s="84">
        <f>'26. Financeability Tests Case 1'!F16</f>
        <v>0.75990722012451584</v>
      </c>
      <c r="G16" s="84">
        <f>'26. Financeability Tests Case 1'!G16</f>
        <v>0.7593301669350333</v>
      </c>
      <c r="H16" s="84">
        <f>'26. Financeability Tests Case 1'!H16</f>
        <v>0.75946767516435609</v>
      </c>
      <c r="I16" s="84">
        <f>'26. Financeability Tests Case 1'!I16</f>
        <v>0.75843478674450382</v>
      </c>
    </row>
    <row r="18" spans="1:9" ht="15.75">
      <c r="B18" s="22" t="s">
        <v>72</v>
      </c>
    </row>
    <row r="19" spans="1:9">
      <c r="B19" s="2" t="s">
        <v>73</v>
      </c>
    </row>
    <row r="20" spans="1:9">
      <c r="B20" s="2" t="s">
        <v>74</v>
      </c>
      <c r="C20" s="77" t="s">
        <v>106</v>
      </c>
      <c r="E20" s="30">
        <f ca="1">'16. Water - MAR'!E66</f>
        <v>168799344.27082741</v>
      </c>
      <c r="F20" s="30">
        <f ca="1">'16. Water - MAR'!F66</f>
        <v>179775870.77865189</v>
      </c>
      <c r="G20" s="30">
        <f ca="1">'16. Water - MAR'!G66</f>
        <v>176308536.43135279</v>
      </c>
      <c r="H20" s="30">
        <f ca="1">'16. Water - MAR'!H66</f>
        <v>181079063.63630641</v>
      </c>
      <c r="I20" s="30">
        <f ca="1">'16. Water - MAR'!I66</f>
        <v>187199669.50866178</v>
      </c>
    </row>
    <row r="21" spans="1:9">
      <c r="B21" s="2" t="s">
        <v>85</v>
      </c>
      <c r="C21" s="77" t="s">
        <v>106</v>
      </c>
      <c r="E21" s="30">
        <f ca="1">'24. Sewer - MAR'!E65</f>
        <v>109009523.5</v>
      </c>
      <c r="F21" s="30">
        <f ca="1">'24. Sewer - MAR'!F65</f>
        <v>114686893.14</v>
      </c>
      <c r="G21" s="30">
        <f ca="1">'24. Sewer - MAR'!G65</f>
        <v>123262263.90663143</v>
      </c>
      <c r="H21" s="30">
        <f ca="1">'24. Sewer - MAR'!H65</f>
        <v>129402537.7514815</v>
      </c>
      <c r="I21" s="30">
        <f ca="1">'24. Sewer - MAR'!I65</f>
        <v>135848756.17576042</v>
      </c>
    </row>
    <row r="22" spans="1:9">
      <c r="B22" s="2" t="s">
        <v>33</v>
      </c>
      <c r="C22" s="77" t="s">
        <v>106</v>
      </c>
      <c r="E22" s="30">
        <f>-SUM('3. General Model Inputs'!E80,'3. General Model Inputs'!E84)</f>
        <v>24806752.55721055</v>
      </c>
      <c r="F22" s="30">
        <f>-SUM('3. General Model Inputs'!F80,'3. General Model Inputs'!F84)</f>
        <v>25429608.732010439</v>
      </c>
      <c r="G22" s="30">
        <f>-SUM('3. General Model Inputs'!G80,'3. General Model Inputs'!G84)</f>
        <v>26068192.323308155</v>
      </c>
      <c r="H22" s="30">
        <f>-SUM('3. General Model Inputs'!H80,'3. General Model Inputs'!H84)</f>
        <v>26722905.583902799</v>
      </c>
      <c r="I22" s="30">
        <f>-SUM('3. General Model Inputs'!I80,'3. General Model Inputs'!I84)</f>
        <v>27394161.347335484</v>
      </c>
    </row>
    <row r="23" spans="1:9">
      <c r="B23" s="2" t="s">
        <v>75</v>
      </c>
      <c r="C23" s="77" t="s">
        <v>106</v>
      </c>
      <c r="E23" s="30">
        <f ca="1">SUM(E20:E22)</f>
        <v>302615620.32803798</v>
      </c>
      <c r="F23" s="30">
        <f t="shared" ref="F23:I23" ca="1" si="0">SUM(F20:F22)</f>
        <v>319892372.6506623</v>
      </c>
      <c r="G23" s="30">
        <f t="shared" ca="1" si="0"/>
        <v>325638992.66129237</v>
      </c>
      <c r="H23" s="30">
        <f t="shared" ca="1" si="0"/>
        <v>337204506.97169071</v>
      </c>
      <c r="I23" s="30">
        <f t="shared" ca="1" si="0"/>
        <v>350442587.03175765</v>
      </c>
    </row>
    <row r="25" spans="1:9">
      <c r="B25" s="2" t="s">
        <v>76</v>
      </c>
      <c r="C25" s="77" t="s">
        <v>106</v>
      </c>
      <c r="E25" s="30">
        <f ca="1">-('3. General Model Inputs'!E71+'3. General Model Inputs'!E75)</f>
        <v>-162956955.49676025</v>
      </c>
      <c r="F25" s="30">
        <f ca="1">-('3. General Model Inputs'!F71+'3. General Model Inputs'!F75)</f>
        <v>-170928164.36190724</v>
      </c>
      <c r="G25" s="30">
        <f ca="1">-('3. General Model Inputs'!G71+'3. General Model Inputs'!G75)</f>
        <v>-173759042.69393849</v>
      </c>
      <c r="H25" s="30">
        <f ca="1">-('3. General Model Inputs'!H71+'3. General Model Inputs'!H75)</f>
        <v>-178228412.81674147</v>
      </c>
      <c r="I25" s="30">
        <f ca="1">-('3. General Model Inputs'!I71+'3. General Model Inputs'!I75)</f>
        <v>-184213661.98339218</v>
      </c>
    </row>
    <row r="27" spans="1:9">
      <c r="B27" s="2" t="s">
        <v>77</v>
      </c>
      <c r="C27" s="77" t="s">
        <v>106</v>
      </c>
      <c r="E27" s="30">
        <f ca="1">E23+E25</f>
        <v>139658664.83127773</v>
      </c>
      <c r="F27" s="30">
        <f ca="1">F23+F25</f>
        <v>148964208.28875506</v>
      </c>
      <c r="G27" s="30">
        <f ca="1">G23+G25</f>
        <v>151879949.96735388</v>
      </c>
      <c r="H27" s="30">
        <f ca="1">H23+H25</f>
        <v>158976094.15494925</v>
      </c>
      <c r="I27" s="30">
        <f ca="1">I23+I25</f>
        <v>166228925.04836547</v>
      </c>
    </row>
    <row r="29" spans="1:9">
      <c r="A29" s="35">
        <f>'2. Notes and Assumptions'!B34</f>
        <v>12</v>
      </c>
      <c r="B29" s="2" t="s">
        <v>13</v>
      </c>
      <c r="C29" s="77" t="s">
        <v>106</v>
      </c>
      <c r="E29" s="30">
        <f ca="1">-('16. Water - MAR'!E27+'24. Sewer - MAR'!E26+E8*2/3)</f>
        <v>-50237188.92713666</v>
      </c>
      <c r="F29" s="30">
        <f ca="1">-('16. Water - MAR'!F27+'24. Sewer - MAR'!F26+F8*2/3)</f>
        <v>-54219814.148637153</v>
      </c>
      <c r="G29" s="30">
        <f ca="1">-('16. Water - MAR'!G27+'24. Sewer - MAR'!G26+G8*2/3)</f>
        <v>-56648997.578918569</v>
      </c>
      <c r="H29" s="30">
        <f ca="1">-('16. Water - MAR'!H27+'24. Sewer - MAR'!H26+H8*2/3)</f>
        <v>-61167910.252260461</v>
      </c>
      <c r="I29" s="30">
        <f ca="1">-('16. Water - MAR'!I27+'24. Sewer - MAR'!I26+I8*2/3)</f>
        <v>-66205274.301655173</v>
      </c>
    </row>
    <row r="31" spans="1:9">
      <c r="B31" s="2" t="s">
        <v>78</v>
      </c>
      <c r="C31" s="77" t="s">
        <v>106</v>
      </c>
      <c r="E31" s="30">
        <f ca="1">E27+E29</f>
        <v>89421475.904141068</v>
      </c>
      <c r="F31" s="30">
        <f ca="1">F27+F29</f>
        <v>94744394.140117913</v>
      </c>
      <c r="G31" s="30">
        <f ca="1">G27+G29</f>
        <v>95230952.388435304</v>
      </c>
      <c r="H31" s="30">
        <f ca="1">H27+H29</f>
        <v>97808183.902688786</v>
      </c>
      <c r="I31" s="30">
        <f ca="1">I27+I29</f>
        <v>100023650.7467103</v>
      </c>
    </row>
    <row r="33" spans="1:9">
      <c r="A33" s="35">
        <f>'2. Notes and Assumptions'!B35</f>
        <v>13</v>
      </c>
      <c r="B33" s="2" t="s">
        <v>79</v>
      </c>
      <c r="C33" s="77" t="s">
        <v>106</v>
      </c>
      <c r="E33" s="30">
        <f>-(E6*(E16)+E8/3+E9)</f>
        <v>-63628531.059609301</v>
      </c>
      <c r="F33" s="30">
        <f t="shared" ref="F33:I33" si="1">-(F6*(F16)+F8/3+F9)</f>
        <v>-64685483.488817304</v>
      </c>
      <c r="G33" s="30">
        <f t="shared" si="1"/>
        <v>-67743151.150356784</v>
      </c>
      <c r="H33" s="30">
        <f t="shared" si="1"/>
        <v>-72029650.229425371</v>
      </c>
      <c r="I33" s="30">
        <f t="shared" si="1"/>
        <v>-76767500.954017967</v>
      </c>
    </row>
    <row r="34" spans="1:9">
      <c r="A34" s="35">
        <f>'2. Notes and Assumptions'!$B$46</f>
        <v>23</v>
      </c>
    </row>
    <row r="35" spans="1:9">
      <c r="B35" s="2" t="s">
        <v>80</v>
      </c>
      <c r="C35" s="2" t="s">
        <v>106</v>
      </c>
      <c r="E35" s="30">
        <f ca="1">E31+E33</f>
        <v>25792944.844531767</v>
      </c>
      <c r="F35" s="30">
        <f ca="1">F31+F33</f>
        <v>30058910.651300609</v>
      </c>
      <c r="G35" s="30">
        <f ca="1">G31+G33</f>
        <v>27487801.23807852</v>
      </c>
      <c r="H35" s="30">
        <f ca="1">H31+H33</f>
        <v>25778533.673263416</v>
      </c>
      <c r="I35" s="30">
        <f ca="1">I31+I33</f>
        <v>23256149.792692333</v>
      </c>
    </row>
    <row r="37" spans="1:9">
      <c r="A37" s="35">
        <f>'2. Notes and Assumptions'!B36</f>
        <v>14</v>
      </c>
      <c r="B37" s="2" t="s">
        <v>81</v>
      </c>
      <c r="C37" s="77" t="s">
        <v>106</v>
      </c>
      <c r="E37" s="30">
        <f ca="1">-('16. Water - MAR'!E63+'24. Sewer - MAR'!E62)-E9*'3. General Model Inputs'!E$11</f>
        <v>-3668907.4888457358</v>
      </c>
      <c r="F37" s="30">
        <f ca="1">-('16. Water - MAR'!F63+'24. Sewer - MAR'!F62)-F9*'3. General Model Inputs'!F$11</f>
        <v>-4788381.908257341</v>
      </c>
      <c r="G37" s="30">
        <f ca="1">-('16. Water - MAR'!G63+'24. Sewer - MAR'!G62)-G9*'3. General Model Inputs'!G$11</f>
        <v>-4283778.6663822811</v>
      </c>
      <c r="H37" s="30">
        <f ca="1">-('16. Water - MAR'!H63+'24. Sewer - MAR'!H62)-H9*'3. General Model Inputs'!H$11</f>
        <v>-4018388.6396449143</v>
      </c>
      <c r="I37" s="30">
        <f ca="1">-('16. Water - MAR'!I63+'24. Sewer - MAR'!I62)-I9*'3. General Model Inputs'!I$11</f>
        <v>-3568176.7940785689</v>
      </c>
    </row>
    <row r="39" spans="1:9">
      <c r="B39" s="2" t="s">
        <v>82</v>
      </c>
      <c r="C39" s="77" t="s">
        <v>106</v>
      </c>
      <c r="E39" s="30">
        <f ca="1">E35+E37</f>
        <v>22124037.355686031</v>
      </c>
      <c r="F39" s="30">
        <f t="shared" ref="F39:I39" ca="1" si="2">F35+F37</f>
        <v>25270528.743043266</v>
      </c>
      <c r="G39" s="30">
        <f t="shared" ca="1" si="2"/>
        <v>23204022.571696237</v>
      </c>
      <c r="H39" s="30">
        <f t="shared" ca="1" si="2"/>
        <v>21760145.033618502</v>
      </c>
      <c r="I39" s="30">
        <f t="shared" ca="1" si="2"/>
        <v>19687972.998613764</v>
      </c>
    </row>
    <row r="41" spans="1:9" ht="15.75">
      <c r="B41" s="22" t="s">
        <v>83</v>
      </c>
    </row>
    <row r="42" spans="1:9">
      <c r="A42" s="35">
        <f>'2. Notes and Assumptions'!B37</f>
        <v>15</v>
      </c>
      <c r="B42" s="78" t="s">
        <v>463</v>
      </c>
      <c r="D42" s="79"/>
      <c r="E42" s="80">
        <f ca="1">(E27+E37)/-E33</f>
        <v>2.1372449603627075</v>
      </c>
      <c r="F42" s="80">
        <f t="shared" ref="F42:I42" ca="1" si="3">(F27+F37)/-F33</f>
        <v>2.2288745264680991</v>
      </c>
      <c r="G42" s="80">
        <f t="shared" ca="1" si="3"/>
        <v>2.1787615248865531</v>
      </c>
      <c r="H42" s="80">
        <f t="shared" ca="1" si="3"/>
        <v>2.1513044284088636</v>
      </c>
      <c r="I42" s="80">
        <f t="shared" ca="1" si="3"/>
        <v>2.1188751259692182</v>
      </c>
    </row>
    <row r="43" spans="1:9">
      <c r="D43" s="79"/>
    </row>
    <row r="44" spans="1:9">
      <c r="A44" s="35">
        <f>'2. Notes and Assumptions'!B38</f>
        <v>16</v>
      </c>
      <c r="B44" s="2" t="s">
        <v>464</v>
      </c>
      <c r="D44" s="81"/>
      <c r="E44" s="82">
        <f>(E13+E8*7+E14*(E16)-E11)/('16. Water - MAR'!E17+'24. Sewer - MAR'!E16)</f>
        <v>0.56148085803308623</v>
      </c>
      <c r="F44" s="82">
        <f ca="1">(F13+F8*7+F14*(F16)-F11)/('16. Water - MAR'!F17+'24. Sewer - MAR'!F16)</f>
        <v>0.56404495004136745</v>
      </c>
      <c r="G44" s="82">
        <f ca="1">(G13+G8*7+G14*(G16)-G11)/('16. Water - MAR'!G17+'24. Sewer - MAR'!G16)</f>
        <v>0.5777741699185367</v>
      </c>
      <c r="H44" s="82">
        <f ca="1">(H13+H8*7+H14*(H16)-H11)/('16. Water - MAR'!H17+'24. Sewer - MAR'!H16)</f>
        <v>0.61946331400735943</v>
      </c>
      <c r="I44" s="82">
        <f ca="1">(I13+I8*7+I14*(I16)-I11)/('16. Water - MAR'!I17+'24. Sewer - MAR'!I16)</f>
        <v>0.57783578796421142</v>
      </c>
    </row>
    <row r="45" spans="1:9">
      <c r="A45" s="35">
        <f>'2. Notes and Assumptions'!B39</f>
        <v>17</v>
      </c>
      <c r="D45" s="79"/>
    </row>
    <row r="46" spans="1:9">
      <c r="B46" s="2" t="s">
        <v>465</v>
      </c>
      <c r="D46" s="81"/>
      <c r="E46" s="24">
        <f ca="1">(E27+E33+E37)/(E13+E8*7+E14*(E16)-E11)</f>
        <v>6.2777542075532336E-2</v>
      </c>
      <c r="F46" s="24">
        <f t="shared" ref="F46:I46" ca="1" si="4">(F27+F33+F37)/(F13+F8*7+F14*(F16)-F11)</f>
        <v>6.6415299889931556E-2</v>
      </c>
      <c r="G46" s="24">
        <f t="shared" ca="1" si="4"/>
        <v>6.261251198184685E-2</v>
      </c>
      <c r="H46" s="24">
        <f t="shared" ca="1" si="4"/>
        <v>5.7474194318044965E-2</v>
      </c>
      <c r="I46" s="24">
        <f t="shared" ca="1" si="4"/>
        <v>6.0405244830544561E-2</v>
      </c>
    </row>
    <row r="47" spans="1:9">
      <c r="D47" s="79"/>
    </row>
    <row r="48" spans="1:9">
      <c r="A48" s="35">
        <f>'2. Notes and Assumptions'!B40</f>
        <v>18</v>
      </c>
      <c r="B48" s="2" t="s">
        <v>466</v>
      </c>
      <c r="D48" s="79"/>
      <c r="E48" s="83">
        <f ca="1">(E27+E33+E37)*60%/('13. Water - Capex RAB'!D11+'21. Sewer - Capex RAB'!D11)</f>
        <v>0.82302555282348067</v>
      </c>
      <c r="F48" s="83">
        <f ca="1">(F27+F33+F37)*60%/('13. Water - Capex RAB'!E11+'21. Sewer - Capex RAB'!E11)</f>
        <v>0.7312523723621559</v>
      </c>
      <c r="G48" s="83">
        <f ca="1">(G27+G33+G37)*60%/('13. Water - Capex RAB'!F11+'21. Sewer - Capex RAB'!F11)</f>
        <v>0.5322621724144595</v>
      </c>
      <c r="H48" s="83">
        <f ca="1">(H27+H33+H37)*60%/('13. Water - Capex RAB'!G11+'21. Sewer - Capex RAB'!G11)</f>
        <v>0.35865198331860104</v>
      </c>
      <c r="I48" s="83">
        <f ca="1">(I27+I33+I37)*60%/('13. Water - Capex RAB'!H11+'21. Sewer - Capex RAB'!H11)</f>
        <v>0.45860245491090212</v>
      </c>
    </row>
    <row r="50" spans="2:10" ht="15.75">
      <c r="B50" s="10" t="s">
        <v>218</v>
      </c>
    </row>
    <row r="51" spans="2:10">
      <c r="B51" s="2" t="s">
        <v>219</v>
      </c>
      <c r="C51" s="77" t="s">
        <v>106</v>
      </c>
      <c r="E51" s="30">
        <f ca="1">(E27+E33+E37)</f>
        <v>72361226.282822698</v>
      </c>
      <c r="F51" s="30">
        <f t="shared" ref="F51:I51" ca="1" si="5">(F27+F33+F37)</f>
        <v>79490342.891680419</v>
      </c>
      <c r="G51" s="30">
        <f t="shared" ca="1" si="5"/>
        <v>79853020.150614813</v>
      </c>
      <c r="H51" s="30">
        <f t="shared" ca="1" si="5"/>
        <v>82928055.285878956</v>
      </c>
      <c r="I51" s="30">
        <f t="shared" ca="1" si="5"/>
        <v>85893247.300268933</v>
      </c>
    </row>
    <row r="53" spans="2:10">
      <c r="B53" s="2" t="s">
        <v>220</v>
      </c>
      <c r="C53" s="77" t="s">
        <v>106</v>
      </c>
      <c r="E53" s="30">
        <f ca="1">('16. Water - MAR'!E17+'24. Sewer - MAR'!E16)*'3. General Model Inputs'!E12</f>
        <v>1231736768.6697328</v>
      </c>
      <c r="F53" s="30">
        <f ca="1">('16. Water - MAR'!F17+'24. Sewer - MAR'!F16)*'3. General Model Inputs'!F12</f>
        <v>1273162292.2773929</v>
      </c>
      <c r="G53" s="30">
        <f ca="1">('16. Water - MAR'!G17+'24. Sewer - MAR'!G16)*'3. General Model Inputs'!G12</f>
        <v>1324412730.6979685</v>
      </c>
      <c r="H53" s="30">
        <f ca="1">('16. Water - MAR'!H17+'24. Sewer - MAR'!H16)*'3. General Model Inputs'!H12</f>
        <v>1397540002.7389362</v>
      </c>
      <c r="I53" s="30">
        <f ca="1">('16. Water - MAR'!I17+'24. Sewer - MAR'!I16)*'3. General Model Inputs'!I12</f>
        <v>1476492303.3048174</v>
      </c>
    </row>
    <row r="54" spans="2:10">
      <c r="B54" s="2" t="s">
        <v>221</v>
      </c>
      <c r="C54" s="77" t="s">
        <v>106</v>
      </c>
      <c r="F54" s="30">
        <f ca="1">F53-E53</f>
        <v>41425523.607660055</v>
      </c>
      <c r="G54" s="30">
        <f t="shared" ref="G54:I54" ca="1" si="6">G53-F53</f>
        <v>51250438.420575619</v>
      </c>
      <c r="H54" s="30">
        <f t="shared" ca="1" si="6"/>
        <v>73127272.040967703</v>
      </c>
      <c r="I54" s="30">
        <f t="shared" ca="1" si="6"/>
        <v>78952300.565881252</v>
      </c>
      <c r="J54" s="30">
        <f ca="1">SUM(F54:I54)</f>
        <v>244755534.63508463</v>
      </c>
    </row>
    <row r="56" spans="2:10">
      <c r="B56" s="2" t="s">
        <v>222</v>
      </c>
      <c r="C56" s="77" t="s">
        <v>106</v>
      </c>
      <c r="E56" s="30">
        <f>(E13+E8*7+E14*(E16)-E11)</f>
        <v>1152661029.5726378</v>
      </c>
      <c r="F56" s="30">
        <f t="shared" ref="F56:I56" si="7">(F13+F8*7+F14*(F16)-F11)</f>
        <v>1196867935.9035916</v>
      </c>
      <c r="G56" s="30">
        <f t="shared" si="7"/>
        <v>1275352443.5142689</v>
      </c>
      <c r="H56" s="30">
        <f t="shared" si="7"/>
        <v>1442874602.5908594</v>
      </c>
      <c r="I56" s="30">
        <f t="shared" si="7"/>
        <v>1421950155.838721</v>
      </c>
    </row>
    <row r="57" spans="2:10">
      <c r="B57" s="2" t="s">
        <v>221</v>
      </c>
      <c r="C57" s="77" t="s">
        <v>106</v>
      </c>
      <c r="F57" s="30">
        <f>F56-E56</f>
        <v>44206906.330953836</v>
      </c>
      <c r="G57" s="30">
        <f t="shared" ref="G57:I57" si="8">G56-F56</f>
        <v>78484507.610677242</v>
      </c>
      <c r="H57" s="30">
        <f t="shared" si="8"/>
        <v>167522159.07659054</v>
      </c>
      <c r="I57" s="30">
        <f t="shared" si="8"/>
        <v>-20924446.752138376</v>
      </c>
      <c r="J57" s="30">
        <f>SUM(F57:I57)</f>
        <v>269289126.26608324</v>
      </c>
    </row>
    <row r="59" spans="2:10" ht="15.75">
      <c r="B59" s="22" t="s">
        <v>319</v>
      </c>
      <c r="C59" s="118"/>
      <c r="D59" s="118"/>
      <c r="E59" s="118"/>
      <c r="F59" s="118"/>
      <c r="G59" s="118"/>
      <c r="H59" s="118"/>
      <c r="I59" s="118"/>
    </row>
    <row r="60" spans="2:10">
      <c r="B60" s="118" t="s">
        <v>73</v>
      </c>
      <c r="C60" s="118"/>
      <c r="D60" s="118"/>
      <c r="E60" s="118"/>
      <c r="F60" s="118"/>
      <c r="G60" s="118"/>
      <c r="H60" s="118"/>
      <c r="I60" s="118"/>
    </row>
    <row r="61" spans="2:10">
      <c r="B61" s="118" t="s">
        <v>74</v>
      </c>
      <c r="C61" s="118" t="s">
        <v>106</v>
      </c>
      <c r="D61" s="118"/>
      <c r="E61" s="164">
        <f ca="1">'16. Water - MAR'!E66</f>
        <v>168799344.27082741</v>
      </c>
      <c r="F61" s="164">
        <f ca="1">'16. Water - MAR'!F66</f>
        <v>179775870.77865189</v>
      </c>
      <c r="G61" s="164">
        <f ca="1">'16. Water - MAR'!G66</f>
        <v>176308536.43135279</v>
      </c>
      <c r="H61" s="164">
        <f ca="1">'16. Water - MAR'!H66</f>
        <v>181079063.63630641</v>
      </c>
      <c r="I61" s="164">
        <f ca="1">'16. Water - MAR'!I66</f>
        <v>187199669.50866178</v>
      </c>
    </row>
    <row r="62" spans="2:10">
      <c r="B62" s="118" t="s">
        <v>85</v>
      </c>
      <c r="C62" s="118" t="s">
        <v>106</v>
      </c>
      <c r="D62" s="118"/>
      <c r="E62" s="164">
        <f ca="1">'24. Sewer - MAR'!E65</f>
        <v>109009523.5</v>
      </c>
      <c r="F62" s="164">
        <f ca="1">'24. Sewer - MAR'!F65</f>
        <v>114686893.14</v>
      </c>
      <c r="G62" s="164">
        <f ca="1">'24. Sewer - MAR'!G65</f>
        <v>123262263.90663143</v>
      </c>
      <c r="H62" s="164">
        <f ca="1">'24. Sewer - MAR'!H65</f>
        <v>129402537.7514815</v>
      </c>
      <c r="I62" s="164">
        <f ca="1">'24. Sewer - MAR'!I65</f>
        <v>135848756.17576042</v>
      </c>
    </row>
    <row r="63" spans="2:10">
      <c r="B63" s="118" t="s">
        <v>33</v>
      </c>
      <c r="C63" s="118" t="s">
        <v>106</v>
      </c>
      <c r="D63" s="118"/>
      <c r="E63" s="164">
        <f>-SUM('3. General Model Inputs'!E80,'3. General Model Inputs'!E84)</f>
        <v>24806752.55721055</v>
      </c>
      <c r="F63" s="164">
        <f>-SUM('3. General Model Inputs'!F80,'3. General Model Inputs'!F84)</f>
        <v>25429608.732010439</v>
      </c>
      <c r="G63" s="164">
        <f>-SUM('3. General Model Inputs'!G80,'3. General Model Inputs'!G84)</f>
        <v>26068192.323308155</v>
      </c>
      <c r="H63" s="164">
        <f>-SUM('3. General Model Inputs'!H80,'3. General Model Inputs'!H84)</f>
        <v>26722905.583902799</v>
      </c>
      <c r="I63" s="164">
        <f>-SUM('3. General Model Inputs'!I80,'3. General Model Inputs'!I84)</f>
        <v>27394161.347335484</v>
      </c>
    </row>
    <row r="64" spans="2:10">
      <c r="B64" s="118" t="s">
        <v>75</v>
      </c>
      <c r="C64" s="118" t="s">
        <v>106</v>
      </c>
      <c r="D64" s="118"/>
      <c r="E64" s="165">
        <f ca="1">SUM(E61:E63)</f>
        <v>302615620.32803798</v>
      </c>
      <c r="F64" s="165">
        <f t="shared" ref="F64:I64" ca="1" si="9">SUM(F61:F63)</f>
        <v>319892372.6506623</v>
      </c>
      <c r="G64" s="165">
        <f t="shared" ca="1" si="9"/>
        <v>325638992.66129237</v>
      </c>
      <c r="H64" s="165">
        <f t="shared" ca="1" si="9"/>
        <v>337204506.97169071</v>
      </c>
      <c r="I64" s="165">
        <f t="shared" ca="1" si="9"/>
        <v>350442587.03175765</v>
      </c>
    </row>
    <row r="65" spans="2:9">
      <c r="B65" s="118"/>
      <c r="C65" s="118"/>
      <c r="D65" s="118"/>
      <c r="E65" s="118"/>
      <c r="F65" s="118"/>
      <c r="G65" s="118"/>
      <c r="H65" s="118"/>
      <c r="I65" s="118"/>
    </row>
    <row r="66" spans="2:9">
      <c r="B66" s="118" t="s">
        <v>324</v>
      </c>
      <c r="C66" s="118" t="s">
        <v>106</v>
      </c>
      <c r="D66" s="118"/>
      <c r="E66" s="164">
        <f ca="1">-('3. General Model Inputs'!E71+'3. General Model Inputs'!E75)</f>
        <v>-162956955.49676025</v>
      </c>
      <c r="F66" s="164">
        <f ca="1">-('3. General Model Inputs'!F71+'3. General Model Inputs'!F75)</f>
        <v>-170928164.36190724</v>
      </c>
      <c r="G66" s="164">
        <f ca="1">-('3. General Model Inputs'!G71+'3. General Model Inputs'!G75)</f>
        <v>-173759042.69393849</v>
      </c>
      <c r="H66" s="164">
        <f ca="1">-('3. General Model Inputs'!H71+'3. General Model Inputs'!H75)</f>
        <v>-178228412.81674147</v>
      </c>
      <c r="I66" s="164">
        <f ca="1">-('3. General Model Inputs'!I71+'3. General Model Inputs'!I75)</f>
        <v>-184213661.98339218</v>
      </c>
    </row>
    <row r="67" spans="2:9">
      <c r="B67" s="118"/>
      <c r="C67" s="118"/>
      <c r="D67" s="118"/>
      <c r="E67" s="118"/>
      <c r="F67" s="118"/>
      <c r="G67" s="118"/>
      <c r="H67" s="118"/>
      <c r="I67" s="118"/>
    </row>
    <row r="68" spans="2:9">
      <c r="B68" s="118" t="s">
        <v>77</v>
      </c>
      <c r="C68" s="118" t="s">
        <v>106</v>
      </c>
      <c r="D68" s="118"/>
      <c r="E68" s="164">
        <f ca="1">E64+E66</f>
        <v>139658664.83127773</v>
      </c>
      <c r="F68" s="164">
        <f t="shared" ref="F68:I68" ca="1" si="10">F64+F66</f>
        <v>148964208.28875506</v>
      </c>
      <c r="G68" s="164">
        <f t="shared" ca="1" si="10"/>
        <v>151879949.96735388</v>
      </c>
      <c r="H68" s="164">
        <f t="shared" ca="1" si="10"/>
        <v>158976094.15494925</v>
      </c>
      <c r="I68" s="164">
        <f t="shared" ca="1" si="10"/>
        <v>166228925.04836547</v>
      </c>
    </row>
    <row r="69" spans="2:9">
      <c r="B69" s="118"/>
      <c r="C69" s="118"/>
      <c r="D69" s="118"/>
      <c r="E69" s="118"/>
      <c r="F69" s="118"/>
      <c r="G69" s="118"/>
      <c r="H69" s="118"/>
      <c r="I69" s="118"/>
    </row>
    <row r="70" spans="2:9">
      <c r="B70" s="118" t="s">
        <v>13</v>
      </c>
      <c r="C70" s="118" t="s">
        <v>106</v>
      </c>
      <c r="D70" s="118"/>
      <c r="E70" s="164">
        <f ca="1">-('16. Water - MAR'!E27+'24. Sewer - MAR'!E26)</f>
        <v>-41267441.720470592</v>
      </c>
      <c r="F70" s="164">
        <f ca="1">-('16. Water - MAR'!F27+'24. Sewer - MAR'!F26)</f>
        <v>-45250066.941971086</v>
      </c>
      <c r="G70" s="164">
        <f ca="1">-('16. Water - MAR'!G27+'24. Sewer - MAR'!G26)</f>
        <v>-47679250.372252502</v>
      </c>
      <c r="H70" s="164">
        <f ca="1">-('16. Water - MAR'!H27+'24. Sewer - MAR'!H26)</f>
        <v>-52198163.045594394</v>
      </c>
      <c r="I70" s="164">
        <f ca="1">-('16. Water - MAR'!I27+'24. Sewer - MAR'!I26)</f>
        <v>-57235527.094989106</v>
      </c>
    </row>
    <row r="71" spans="2:9">
      <c r="B71" s="118"/>
      <c r="C71" s="118"/>
      <c r="D71" s="118"/>
      <c r="E71" s="118"/>
      <c r="F71" s="118"/>
      <c r="G71" s="118"/>
      <c r="H71" s="118"/>
      <c r="I71" s="118"/>
    </row>
    <row r="72" spans="2:9">
      <c r="B72" s="118" t="s">
        <v>78</v>
      </c>
      <c r="C72" s="118" t="s">
        <v>106</v>
      </c>
      <c r="D72" s="118"/>
      <c r="E72" s="164">
        <f ca="1">E68+E70</f>
        <v>98391223.110807136</v>
      </c>
      <c r="F72" s="164">
        <f t="shared" ref="F72:I72" ca="1" si="11">F68+F70</f>
        <v>103714141.34678397</v>
      </c>
      <c r="G72" s="164">
        <f t="shared" ca="1" si="11"/>
        <v>104200699.59510139</v>
      </c>
      <c r="H72" s="164">
        <f t="shared" ca="1" si="11"/>
        <v>106777931.10935485</v>
      </c>
      <c r="I72" s="164">
        <f t="shared" ca="1" si="11"/>
        <v>108993397.95337637</v>
      </c>
    </row>
    <row r="73" spans="2:9">
      <c r="B73" s="118"/>
      <c r="C73" s="118"/>
      <c r="D73" s="118"/>
      <c r="E73" s="118"/>
      <c r="F73" s="118"/>
      <c r="G73" s="118"/>
      <c r="H73" s="118"/>
      <c r="I73" s="118"/>
    </row>
    <row r="74" spans="2:9">
      <c r="B74" s="118" t="s">
        <v>317</v>
      </c>
      <c r="C74" s="118" t="s">
        <v>106</v>
      </c>
      <c r="D74" s="118"/>
      <c r="E74" s="164">
        <f ca="1">'16. Water - MAR'!E72+'24. Sewer - MAR'!E71</f>
        <v>-79754955.771365196</v>
      </c>
      <c r="F74" s="164">
        <f ca="1">'16. Water - MAR'!F72+'24. Sewer - MAR'!F71</f>
        <v>-82437258.424961194</v>
      </c>
      <c r="G74" s="164">
        <f ca="1">'16. Water - MAR'!G72+'24. Sewer - MAR'!G71</f>
        <v>-85755724.312693462</v>
      </c>
      <c r="H74" s="164">
        <f ca="1">'16. Water - MAR'!H72+'24. Sewer - MAR'!H71</f>
        <v>-90490715.177346125</v>
      </c>
      <c r="I74" s="164">
        <f ca="1">'16. Water - MAR'!I72+'24. Sewer - MAR'!I71</f>
        <v>-95602876.638986945</v>
      </c>
    </row>
    <row r="75" spans="2:9">
      <c r="B75" s="118"/>
      <c r="C75" s="118"/>
      <c r="D75" s="118"/>
      <c r="E75" s="118"/>
      <c r="F75" s="118"/>
      <c r="G75" s="118"/>
      <c r="H75" s="118"/>
      <c r="I75" s="118"/>
    </row>
    <row r="76" spans="2:9">
      <c r="B76" s="118" t="s">
        <v>80</v>
      </c>
      <c r="C76" s="118" t="s">
        <v>106</v>
      </c>
      <c r="D76" s="118"/>
      <c r="E76" s="164">
        <f t="shared" ref="E76:I76" ca="1" si="12">E72+E74</f>
        <v>18636267.33944194</v>
      </c>
      <c r="F76" s="164">
        <f t="shared" ca="1" si="12"/>
        <v>21276882.921822771</v>
      </c>
      <c r="G76" s="164">
        <f t="shared" ca="1" si="12"/>
        <v>18444975.282407925</v>
      </c>
      <c r="H76" s="164">
        <f t="shared" ca="1" si="12"/>
        <v>16287215.932008728</v>
      </c>
      <c r="I76" s="164">
        <f t="shared" ca="1" si="12"/>
        <v>13390521.314389423</v>
      </c>
    </row>
    <row r="77" spans="2:9">
      <c r="B77" s="118"/>
      <c r="C77" s="118"/>
      <c r="D77" s="118"/>
      <c r="E77" s="118"/>
      <c r="F77" s="118"/>
      <c r="G77" s="118"/>
      <c r="H77" s="118"/>
      <c r="I77" s="118"/>
    </row>
    <row r="78" spans="2:9">
      <c r="B78" s="118" t="s">
        <v>81</v>
      </c>
      <c r="C78" s="118" t="s">
        <v>106</v>
      </c>
      <c r="D78" s="118"/>
      <c r="E78" s="164">
        <f ca="1">-('16. Water - MAR'!E63+'24. Sewer - MAR'!E62)</f>
        <v>-3668907.4888457358</v>
      </c>
      <c r="F78" s="164">
        <f ca="1">-('16. Water - MAR'!F63+'24. Sewer - MAR'!F62)</f>
        <v>-4788381.908257341</v>
      </c>
      <c r="G78" s="164">
        <f ca="1">-('16. Water - MAR'!G63+'24. Sewer - MAR'!G62)</f>
        <v>-4283778.6663822811</v>
      </c>
      <c r="H78" s="164">
        <f ca="1">-('16. Water - MAR'!H63+'24. Sewer - MAR'!H62)</f>
        <v>-4018388.6396449143</v>
      </c>
      <c r="I78" s="164">
        <f ca="1">-('16. Water - MAR'!I63+'24. Sewer - MAR'!I62)</f>
        <v>-3568176.7940785689</v>
      </c>
    </row>
    <row r="79" spans="2:9">
      <c r="B79" s="118"/>
      <c r="C79" s="118"/>
      <c r="D79" s="118"/>
      <c r="E79" s="118"/>
      <c r="F79" s="118"/>
      <c r="G79" s="118"/>
      <c r="H79" s="118"/>
      <c r="I79" s="118"/>
    </row>
    <row r="80" spans="2:9">
      <c r="B80" s="118" t="s">
        <v>82</v>
      </c>
      <c r="C80" s="118"/>
      <c r="D80" s="118"/>
      <c r="E80" s="164">
        <f t="shared" ref="E80:I80" ca="1" si="13">E76+E78</f>
        <v>14967359.850596204</v>
      </c>
      <c r="F80" s="164">
        <f t="shared" ca="1" si="13"/>
        <v>16488501.01356543</v>
      </c>
      <c r="G80" s="164">
        <f t="shared" ca="1" si="13"/>
        <v>14161196.616025643</v>
      </c>
      <c r="H80" s="164">
        <f t="shared" ca="1" si="13"/>
        <v>12268827.292363815</v>
      </c>
      <c r="I80" s="164">
        <f t="shared" ca="1" si="13"/>
        <v>9822344.5203108527</v>
      </c>
    </row>
    <row r="81" spans="2:9">
      <c r="B81" s="118"/>
      <c r="C81" s="118"/>
      <c r="D81" s="118"/>
      <c r="E81" s="118"/>
      <c r="F81" s="118"/>
      <c r="G81" s="118"/>
      <c r="H81" s="118"/>
      <c r="I81" s="118"/>
    </row>
    <row r="82" spans="2:9" ht="15.75">
      <c r="B82" s="22" t="s">
        <v>325</v>
      </c>
      <c r="C82" s="118"/>
      <c r="D82" s="118"/>
      <c r="E82" s="118"/>
      <c r="F82" s="118"/>
      <c r="G82" s="118"/>
      <c r="H82" s="118"/>
      <c r="I82" s="118"/>
    </row>
    <row r="83" spans="2:9">
      <c r="B83" s="118" t="s">
        <v>328</v>
      </c>
      <c r="C83" s="118"/>
      <c r="D83" s="118"/>
      <c r="E83" s="118"/>
      <c r="F83" s="118"/>
      <c r="G83" s="118"/>
      <c r="H83" s="118"/>
      <c r="I83" s="118"/>
    </row>
    <row r="84" spans="2:9">
      <c r="B84" s="118" t="s">
        <v>326</v>
      </c>
      <c r="C84" s="118" t="s">
        <v>106</v>
      </c>
      <c r="D84" s="118"/>
      <c r="E84" s="164">
        <f ca="1">E64</f>
        <v>302615620.32803798</v>
      </c>
      <c r="F84" s="164">
        <f ca="1">F64</f>
        <v>319892372.6506623</v>
      </c>
      <c r="G84" s="164">
        <f ca="1">G64</f>
        <v>325638992.66129237</v>
      </c>
      <c r="H84" s="164">
        <f ca="1">H64</f>
        <v>337204506.97169071</v>
      </c>
      <c r="I84" s="164">
        <f ca="1">I64</f>
        <v>350442587.03175765</v>
      </c>
    </row>
    <row r="85" spans="2:9">
      <c r="B85" s="118" t="s">
        <v>324</v>
      </c>
      <c r="C85" s="118" t="s">
        <v>106</v>
      </c>
      <c r="D85" s="118"/>
      <c r="E85" s="164">
        <f ca="1">E66</f>
        <v>-162956955.49676025</v>
      </c>
      <c r="F85" s="164">
        <f ca="1">F66</f>
        <v>-170928164.36190724</v>
      </c>
      <c r="G85" s="164">
        <f ca="1">G66</f>
        <v>-173759042.69393849</v>
      </c>
      <c r="H85" s="164">
        <f ca="1">H66</f>
        <v>-178228412.81674147</v>
      </c>
      <c r="I85" s="164">
        <f ca="1">I66</f>
        <v>-184213661.98339218</v>
      </c>
    </row>
    <row r="86" spans="2:9">
      <c r="B86" s="118" t="s">
        <v>327</v>
      </c>
      <c r="C86" s="118" t="s">
        <v>106</v>
      </c>
      <c r="D86" s="118"/>
      <c r="E86" s="164">
        <f ca="1">E78</f>
        <v>-3668907.4888457358</v>
      </c>
      <c r="F86" s="164">
        <f ca="1">F78</f>
        <v>-4788381.908257341</v>
      </c>
      <c r="G86" s="164">
        <f ca="1">G78</f>
        <v>-4283778.6663822811</v>
      </c>
      <c r="H86" s="164">
        <f ca="1">H78</f>
        <v>-4018388.6396449143</v>
      </c>
      <c r="I86" s="164">
        <f ca="1">I78</f>
        <v>-3568176.7940785689</v>
      </c>
    </row>
    <row r="87" spans="2:9">
      <c r="B87" s="118"/>
      <c r="C87" s="118"/>
      <c r="D87" s="118"/>
      <c r="E87" s="165">
        <f ca="1">SUM(E84:E86)</f>
        <v>135989757.34243199</v>
      </c>
      <c r="F87" s="165">
        <f t="shared" ref="F87:I87" ca="1" si="14">SUM(F84:F86)</f>
        <v>144175826.38049772</v>
      </c>
      <c r="G87" s="165">
        <f t="shared" ca="1" si="14"/>
        <v>147596171.3009716</v>
      </c>
      <c r="H87" s="165">
        <f t="shared" ca="1" si="14"/>
        <v>154957705.51530433</v>
      </c>
      <c r="I87" s="165">
        <f t="shared" ca="1" si="14"/>
        <v>162660748.25428692</v>
      </c>
    </row>
    <row r="88" spans="2:9">
      <c r="B88" s="118" t="s">
        <v>329</v>
      </c>
      <c r="C88" s="118"/>
      <c r="D88" s="118"/>
      <c r="E88" s="166"/>
      <c r="F88" s="166"/>
      <c r="G88" s="166"/>
      <c r="H88" s="166"/>
      <c r="I88" s="166"/>
    </row>
    <row r="89" spans="2:9">
      <c r="B89" s="118" t="s">
        <v>330</v>
      </c>
      <c r="C89" s="118" t="s">
        <v>106</v>
      </c>
      <c r="D89" s="118"/>
      <c r="E89" s="166"/>
      <c r="F89" s="166"/>
      <c r="G89" s="166"/>
      <c r="H89" s="166"/>
      <c r="I89" s="166"/>
    </row>
    <row r="90" spans="2:9">
      <c r="B90" s="118" t="s">
        <v>331</v>
      </c>
      <c r="C90" s="118" t="s">
        <v>106</v>
      </c>
      <c r="D90" s="118"/>
      <c r="E90" s="166">
        <f>-('13. Water - Capex RAB'!D762+'21. Sewer - Capex RAB'!D687)</f>
        <v>-52752597.560000025</v>
      </c>
      <c r="F90" s="166">
        <f>-('13. Water - Capex RAB'!E762+'21. Sewer - Capex RAB'!E687)</f>
        <v>-65222633.850666657</v>
      </c>
      <c r="G90" s="166">
        <f>-('13. Water - Capex RAB'!F762+'21. Sewer - Capex RAB'!F687)</f>
        <v>-90015437.0787431</v>
      </c>
      <c r="H90" s="166">
        <f>-('13. Water - Capex RAB'!G762+'21. Sewer - Capex RAB'!G687)</f>
        <v>-138732909.57749122</v>
      </c>
      <c r="I90" s="166">
        <f>-('13. Water - Capex RAB'!H762+'21. Sewer - Capex RAB'!H687)</f>
        <v>-112376084.83838978</v>
      </c>
    </row>
    <row r="91" spans="2:9">
      <c r="B91" s="118"/>
      <c r="C91" s="118"/>
      <c r="D91" s="118"/>
      <c r="E91" s="165">
        <f>SUM(E89:E90)</f>
        <v>-52752597.560000025</v>
      </c>
      <c r="F91" s="165">
        <f t="shared" ref="F91:I91" si="15">SUM(F89:F90)</f>
        <v>-65222633.850666657</v>
      </c>
      <c r="G91" s="165">
        <f t="shared" si="15"/>
        <v>-90015437.0787431</v>
      </c>
      <c r="H91" s="165">
        <f t="shared" si="15"/>
        <v>-138732909.57749122</v>
      </c>
      <c r="I91" s="165">
        <f t="shared" si="15"/>
        <v>-112376084.83838978</v>
      </c>
    </row>
    <row r="92" spans="2:9">
      <c r="B92" s="118"/>
      <c r="C92" s="118"/>
      <c r="D92" s="118"/>
      <c r="E92" s="166"/>
      <c r="F92" s="166"/>
      <c r="G92" s="166"/>
      <c r="H92" s="166"/>
      <c r="I92" s="166"/>
    </row>
    <row r="93" spans="2:9">
      <c r="B93" s="118" t="s">
        <v>332</v>
      </c>
      <c r="C93" s="118"/>
      <c r="D93" s="118"/>
      <c r="E93" s="166"/>
      <c r="F93" s="166"/>
      <c r="G93" s="166"/>
      <c r="H93" s="166"/>
      <c r="I93" s="166"/>
    </row>
    <row r="94" spans="2:9">
      <c r="B94" s="118" t="s">
        <v>333</v>
      </c>
      <c r="C94" s="118" t="s">
        <v>106</v>
      </c>
      <c r="D94" s="118"/>
      <c r="E94" s="166">
        <f ca="1">E74</f>
        <v>-79754955.771365196</v>
      </c>
      <c r="F94" s="166">
        <f ca="1">F74</f>
        <v>-82437258.424961194</v>
      </c>
      <c r="G94" s="166">
        <f ca="1">G74</f>
        <v>-85755724.312693462</v>
      </c>
      <c r="H94" s="166">
        <f ca="1">H74</f>
        <v>-90490715.177346125</v>
      </c>
      <c r="I94" s="166">
        <f ca="1">I74</f>
        <v>-95602876.638986945</v>
      </c>
    </row>
    <row r="95" spans="2:9">
      <c r="B95" s="118" t="s">
        <v>334</v>
      </c>
      <c r="C95" s="118" t="s">
        <v>106</v>
      </c>
      <c r="D95" s="118"/>
      <c r="E95" s="164">
        <f ca="1">(E107-E102)*'3. General Model Inputs'!E12</f>
        <v>37684512.720460221</v>
      </c>
      <c r="F95" s="164">
        <f ca="1">(F107-F102)*'3. General Model Inputs'!F12</f>
        <v>43812597.452152632</v>
      </c>
      <c r="G95" s="164">
        <f ca="1">(G107-G102)*'3. General Model Inputs'!G12</f>
        <v>58512030.291343398</v>
      </c>
      <c r="H95" s="164">
        <f ca="1">(H107-H102)*'3. General Model Inputs'!H12</f>
        <v>86859347.987611488</v>
      </c>
      <c r="I95" s="164">
        <f ca="1">(I107-I102)*'3. General Model Inputs'!I12</f>
        <v>69996642.228660673</v>
      </c>
    </row>
    <row r="96" spans="2:9">
      <c r="B96" s="118" t="s">
        <v>335</v>
      </c>
      <c r="C96" s="118" t="s">
        <v>106</v>
      </c>
      <c r="D96" s="118"/>
      <c r="E96" s="164">
        <f ca="1">-SUM(E87,E91,E94:E95)</f>
        <v>-41166716.731526986</v>
      </c>
      <c r="F96" s="164">
        <f ca="1">-SUM(F87,F91,F94:F95)</f>
        <v>-40328531.557022505</v>
      </c>
      <c r="G96" s="164">
        <f ca="1">-SUM(G87:I87,G91:I91,G94:I95)/3</f>
        <v>-22536299.318175916</v>
      </c>
      <c r="H96" s="164">
        <f t="shared" ref="H96:I96" ca="1" si="16">G96</f>
        <v>-22536299.318175916</v>
      </c>
      <c r="I96" s="164">
        <f t="shared" ca="1" si="16"/>
        <v>-22536299.318175916</v>
      </c>
    </row>
    <row r="97" spans="2:10">
      <c r="B97" s="118"/>
      <c r="C97" s="118"/>
      <c r="D97" s="118"/>
      <c r="E97" s="165">
        <f ca="1">SUM(E94:E96)</f>
        <v>-83237159.78243196</v>
      </c>
      <c r="F97" s="165">
        <f t="shared" ref="F97:I97" ca="1" si="17">SUM(F94:F96)</f>
        <v>-78953192.529831067</v>
      </c>
      <c r="G97" s="165">
        <f t="shared" ca="1" si="17"/>
        <v>-49779993.339525983</v>
      </c>
      <c r="H97" s="165">
        <f t="shared" ca="1" si="17"/>
        <v>-26167666.507910553</v>
      </c>
      <c r="I97" s="165">
        <f t="shared" ca="1" si="17"/>
        <v>-48142533.728502184</v>
      </c>
    </row>
    <row r="98" spans="2:10">
      <c r="B98" s="118"/>
      <c r="C98" s="118"/>
      <c r="D98" s="118"/>
      <c r="E98" s="166"/>
      <c r="F98" s="166"/>
      <c r="G98" s="166"/>
      <c r="H98" s="166"/>
      <c r="I98" s="166"/>
    </row>
    <row r="99" spans="2:10">
      <c r="B99" s="118" t="s">
        <v>336</v>
      </c>
      <c r="C99" s="118" t="s">
        <v>106</v>
      </c>
      <c r="D99" s="118"/>
      <c r="E99" s="166">
        <f ca="1">SUM(E87,E91,E97)</f>
        <v>0</v>
      </c>
      <c r="F99" s="166">
        <f t="shared" ref="F99:I99" ca="1" si="18">SUM(F87,F91,F97)</f>
        <v>0</v>
      </c>
      <c r="G99" s="166">
        <f t="shared" ca="1" si="18"/>
        <v>7800740.8827025145</v>
      </c>
      <c r="H99" s="166">
        <f t="shared" ca="1" si="18"/>
        <v>-9942870.5700974502</v>
      </c>
      <c r="I99" s="166">
        <f t="shared" ca="1" si="18"/>
        <v>2142129.6873949468</v>
      </c>
      <c r="J99" s="13">
        <f ca="1">SUM(E99:I99)</f>
        <v>1.1175870895385742E-8</v>
      </c>
    </row>
    <row r="100" spans="2:10">
      <c r="B100" s="118"/>
      <c r="C100" s="118"/>
      <c r="D100" s="118"/>
      <c r="E100" s="166"/>
      <c r="F100" s="166"/>
      <c r="G100" s="166"/>
      <c r="H100" s="166"/>
      <c r="I100" s="166"/>
      <c r="J100" s="30"/>
    </row>
    <row r="101" spans="2:10" ht="15.75">
      <c r="B101" s="22" t="s">
        <v>337</v>
      </c>
      <c r="C101" s="118"/>
      <c r="D101" s="118"/>
      <c r="E101" s="166"/>
      <c r="F101" s="166"/>
      <c r="G101" s="166"/>
      <c r="H101" s="166"/>
      <c r="I101" s="166"/>
      <c r="J101" s="30"/>
    </row>
    <row r="102" spans="2:10">
      <c r="B102" s="118" t="s">
        <v>305</v>
      </c>
      <c r="C102" s="118" t="s">
        <v>106</v>
      </c>
      <c r="D102" s="118"/>
      <c r="E102" s="166">
        <f>'12. Water - Existing Assets RAB'!D9+'13. Water - Capex RAB'!D9+'20. Sewer - Existing Assets RAB'!D9+'21. Sewer - Capex RAB'!D9</f>
        <v>2026518315.6695547</v>
      </c>
      <c r="F102" s="166">
        <f ca="1">'12. Water - Existing Assets RAB'!E9+'13. Water - Capex RAB'!E9+'20. Sewer - Existing Assets RAB'!E9+'21. Sewer - Capex RAB'!E9</f>
        <v>2089325836.8703218</v>
      </c>
      <c r="G102" s="166">
        <f ca="1">'12. Water - Existing Assets RAB'!F9+'13. Water - Capex RAB'!F9+'20. Sewer - Existing Assets RAB'!F9+'21. Sewer - Capex RAB'!F9</f>
        <v>2162346832.6239095</v>
      </c>
      <c r="H102" s="166">
        <f ca="1">'12. Water - Existing Assets RAB'!G9+'13. Water - Capex RAB'!G9+'20. Sewer - Existing Assets RAB'!G9+'21. Sewer - Capex RAB'!G9</f>
        <v>2259866883.1094818</v>
      </c>
      <c r="I102" s="166">
        <f ca="1">'12. Water - Existing Assets RAB'!H9+'13. Water - Capex RAB'!H9+'20. Sewer - Existing Assets RAB'!H9+'21. Sewer - Capex RAB'!H9</f>
        <v>2404632463.0888343</v>
      </c>
      <c r="J102" s="30"/>
    </row>
    <row r="103" spans="2:10">
      <c r="B103" s="118" t="s">
        <v>306</v>
      </c>
      <c r="C103" s="118" t="s">
        <v>106</v>
      </c>
      <c r="D103" s="118"/>
      <c r="E103" s="166">
        <f>'13. Water - Capex RAB'!D11+'21. Sewer - Capex RAB'!D11</f>
        <v>52752597.560000025</v>
      </c>
      <c r="F103" s="166">
        <f>'13. Water - Capex RAB'!E11+'21. Sewer - Capex RAB'!E11</f>
        <v>65222633.850666657</v>
      </c>
      <c r="G103" s="166">
        <f>'13. Water - Capex RAB'!F11+'21. Sewer - Capex RAB'!F11</f>
        <v>90015437.0787431</v>
      </c>
      <c r="H103" s="166">
        <f>'13. Water - Capex RAB'!G11+'21. Sewer - Capex RAB'!G11</f>
        <v>138732909.57749122</v>
      </c>
      <c r="I103" s="166">
        <f>'13. Water - Capex RAB'!H11+'21. Sewer - Capex RAB'!H11</f>
        <v>112376084.83838978</v>
      </c>
      <c r="J103" s="30"/>
    </row>
    <row r="104" spans="2:10">
      <c r="B104" s="118" t="s">
        <v>307</v>
      </c>
      <c r="C104" s="118" t="s">
        <v>106</v>
      </c>
      <c r="D104" s="118"/>
      <c r="E104" s="166">
        <f>'12. Water - Existing Assets RAB'!D10+'13. Water - Capex RAB'!D10+'20. Sewer - Existing Assets RAB'!D10+'21. Sewer - Capex RAB'!D10</f>
        <v>0</v>
      </c>
      <c r="F104" s="166">
        <f>'12. Water - Existing Assets RAB'!E10+'13. Water - Capex RAB'!E10+'20. Sewer - Existing Assets RAB'!E10+'21. Sewer - Capex RAB'!E10</f>
        <v>0</v>
      </c>
      <c r="G104" s="166">
        <f>'12. Water - Existing Assets RAB'!F10+'13. Water - Capex RAB'!F10+'20. Sewer - Existing Assets RAB'!F10+'21. Sewer - Capex RAB'!F10</f>
        <v>0</v>
      </c>
      <c r="H104" s="166">
        <f>'12. Water - Existing Assets RAB'!G10+'13. Water - Capex RAB'!G10+'20. Sewer - Existing Assets RAB'!G10+'21. Sewer - Capex RAB'!G10</f>
        <v>0</v>
      </c>
      <c r="I104" s="166">
        <f>'12. Water - Existing Assets RAB'!H10+'13. Water - Capex RAB'!H10+'20. Sewer - Existing Assets RAB'!H10+'21. Sewer - Capex RAB'!H10</f>
        <v>0</v>
      </c>
      <c r="J104" s="30"/>
    </row>
    <row r="105" spans="2:10">
      <c r="B105" s="118" t="s">
        <v>13</v>
      </c>
      <c r="C105" s="118" t="s">
        <v>106</v>
      </c>
      <c r="D105" s="118"/>
      <c r="E105" s="166">
        <f ca="1">'12. Water - Existing Assets RAB'!D12+'13. Water - Capex RAB'!D13+'20. Sewer - Existing Assets RAB'!D13+'21. Sewer - Capex RAB'!D13</f>
        <v>-41267441.720470592</v>
      </c>
      <c r="F105" s="166">
        <f ca="1">'12. Water - Existing Assets RAB'!E12+'13. Water - Capex RAB'!E13+'20. Sewer - Existing Assets RAB'!E13+'21. Sewer - Capex RAB'!E13</f>
        <v>-45250066.941971086</v>
      </c>
      <c r="G105" s="166">
        <f ca="1">'12. Water - Existing Assets RAB'!F12+'13. Water - Capex RAB'!F13+'20. Sewer - Existing Assets RAB'!F13+'21. Sewer - Capex RAB'!F13</f>
        <v>-47679250.372252502</v>
      </c>
      <c r="H105" s="166">
        <f ca="1">'12. Water - Existing Assets RAB'!G12+'13. Water - Capex RAB'!G13+'20. Sewer - Existing Assets RAB'!G13+'21. Sewer - Capex RAB'!G13</f>
        <v>-52198163.045594394</v>
      </c>
      <c r="I105" s="166">
        <f ca="1">'12. Water - Existing Assets RAB'!H12+'13. Water - Capex RAB'!H13+'20. Sewer - Existing Assets RAB'!H13+'21. Sewer - Capex RAB'!H13</f>
        <v>-57235527.094989114</v>
      </c>
      <c r="J105" s="30"/>
    </row>
    <row r="106" spans="2:10">
      <c r="B106" s="118" t="s">
        <v>308</v>
      </c>
      <c r="C106" s="118" t="s">
        <v>106</v>
      </c>
      <c r="D106" s="118"/>
      <c r="E106" s="166">
        <f ca="1">'12. Water - Existing Assets RAB'!D11+'13. Water - Capex RAB'!D12+'20. Sewer - Existing Assets RAB'!D12+'21. Sewer - Capex RAB'!D12</f>
        <v>51322365.36123886</v>
      </c>
      <c r="F106" s="166">
        <f ca="1">'12. Water - Existing Assets RAB'!E11+'13. Water - Capex RAB'!E12+'20. Sewer - Existing Assets RAB'!E12+'21. Sewer - Capex RAB'!E12</f>
        <v>53048428.844891384</v>
      </c>
      <c r="G106" s="166">
        <f ca="1">'12. Water - Existing Assets RAB'!F11+'13. Water - Capex RAB'!F12+'20. Sewer - Existing Assets RAB'!F12+'21. Sewer - Capex RAB'!F12</f>
        <v>55183863.779082023</v>
      </c>
      <c r="H106" s="166">
        <f ca="1">'12. Water - Existing Assets RAB'!G11+'13. Water - Capex RAB'!G12+'20. Sewer - Existing Assets RAB'!G12+'21. Sewer - Capex RAB'!G12</f>
        <v>58230833.447455704</v>
      </c>
      <c r="I106" s="166">
        <f ca="1">'12. Water - Existing Assets RAB'!H11+'13. Water - Capex RAB'!H12+'20. Sewer - Existing Assets RAB'!H12+'21. Sewer - Capex RAB'!H12</f>
        <v>61520512.637700722</v>
      </c>
      <c r="J106" s="30"/>
    </row>
    <row r="107" spans="2:10">
      <c r="B107" s="118" t="s">
        <v>309</v>
      </c>
      <c r="C107" s="118" t="s">
        <v>106</v>
      </c>
      <c r="D107" s="118"/>
      <c r="E107" s="166">
        <f ca="1">'12. Water - Existing Assets RAB'!D13+'13. Water - Capex RAB'!D14+'20. Sewer - Existing Assets RAB'!D14+'21. Sewer - Capex RAB'!D14</f>
        <v>2089325836.8703218</v>
      </c>
      <c r="F107" s="166">
        <f ca="1">'12. Water - Existing Assets RAB'!E13+'13. Water - Capex RAB'!E14+'20. Sewer - Existing Assets RAB'!E14+'21. Sewer - Capex RAB'!E14</f>
        <v>2162346832.6239095</v>
      </c>
      <c r="G107" s="166">
        <f ca="1">'12. Water - Existing Assets RAB'!F13+'13. Water - Capex RAB'!F14+'20. Sewer - Existing Assets RAB'!F14+'21. Sewer - Capex RAB'!F14</f>
        <v>2259866883.1094818</v>
      </c>
      <c r="H107" s="166">
        <f ca="1">'12. Water - Existing Assets RAB'!G13+'13. Water - Capex RAB'!G14+'20. Sewer - Existing Assets RAB'!G14+'21. Sewer - Capex RAB'!G14</f>
        <v>2404632463.0888343</v>
      </c>
      <c r="I107" s="166">
        <f ca="1">'12. Water - Existing Assets RAB'!H13+'13. Water - Capex RAB'!H14+'20. Sewer - Existing Assets RAB'!H14+'21. Sewer - Capex RAB'!H14</f>
        <v>2521293533.4699354</v>
      </c>
      <c r="J107" s="30"/>
    </row>
    <row r="108" spans="2:10">
      <c r="B108" s="118"/>
      <c r="C108" s="118"/>
      <c r="D108" s="118"/>
      <c r="E108" s="118"/>
      <c r="F108" s="118"/>
      <c r="G108" s="118"/>
      <c r="H108" s="118"/>
      <c r="I108" s="118"/>
      <c r="J108" s="12"/>
    </row>
    <row r="109" spans="2:10">
      <c r="B109" s="118" t="s">
        <v>338</v>
      </c>
      <c r="C109" s="118"/>
      <c r="D109" s="118"/>
      <c r="E109" s="166"/>
      <c r="F109" s="166"/>
      <c r="G109" s="166"/>
      <c r="H109" s="166"/>
      <c r="I109" s="166"/>
      <c r="J109" s="30"/>
    </row>
    <row r="110" spans="2:10">
      <c r="B110" s="118" t="s">
        <v>125</v>
      </c>
      <c r="C110" s="118" t="s">
        <v>106</v>
      </c>
      <c r="D110" s="118"/>
      <c r="E110" s="166">
        <f ca="1">E107</f>
        <v>2089325836.8703218</v>
      </c>
      <c r="F110" s="166">
        <f t="shared" ref="F110:I110" ca="1" si="19">F107</f>
        <v>2162346832.6239095</v>
      </c>
      <c r="G110" s="166">
        <f t="shared" ca="1" si="19"/>
        <v>2259866883.1094818</v>
      </c>
      <c r="H110" s="166">
        <f t="shared" ca="1" si="19"/>
        <v>2404632463.0888343</v>
      </c>
      <c r="I110" s="166">
        <f t="shared" ca="1" si="19"/>
        <v>2521293533.4699354</v>
      </c>
      <c r="J110" s="30"/>
    </row>
    <row r="111" spans="2:10">
      <c r="B111" s="118" t="s">
        <v>339</v>
      </c>
      <c r="C111" s="118" t="s">
        <v>106</v>
      </c>
      <c r="D111" s="118"/>
      <c r="E111" s="166">
        <f ca="1">E99+D111</f>
        <v>0</v>
      </c>
      <c r="F111" s="166">
        <f ca="1">F99+E111</f>
        <v>0</v>
      </c>
      <c r="G111" s="166">
        <f ca="1">G99+F111</f>
        <v>7800740.8827025145</v>
      </c>
      <c r="H111" s="166">
        <f ca="1">H99+G111</f>
        <v>-2142129.6873949356</v>
      </c>
      <c r="I111" s="166">
        <f ca="1">I99+H111</f>
        <v>1.1175870895385742E-8</v>
      </c>
      <c r="J111" s="30"/>
    </row>
    <row r="112" spans="2:10">
      <c r="B112" s="118"/>
      <c r="C112" s="118"/>
      <c r="D112" s="118"/>
      <c r="E112" s="165">
        <f ca="1">SUM(E110:E111)</f>
        <v>2089325836.8703218</v>
      </c>
      <c r="F112" s="165">
        <f t="shared" ref="F112:I112" ca="1" si="20">SUM(F110:F111)</f>
        <v>2162346832.6239095</v>
      </c>
      <c r="G112" s="165">
        <f t="shared" ca="1" si="20"/>
        <v>2267667623.9921842</v>
      </c>
      <c r="H112" s="165">
        <f t="shared" ca="1" si="20"/>
        <v>2402490333.4014392</v>
      </c>
      <c r="I112" s="165">
        <f t="shared" ca="1" si="20"/>
        <v>2521293533.4699354</v>
      </c>
      <c r="J112" s="30"/>
    </row>
    <row r="113" spans="2:10">
      <c r="B113" s="118"/>
      <c r="C113" s="118"/>
      <c r="D113" s="118"/>
      <c r="E113" s="166"/>
      <c r="F113" s="166"/>
      <c r="G113" s="166"/>
      <c r="H113" s="166"/>
      <c r="I113" s="166"/>
      <c r="J113" s="30"/>
    </row>
    <row r="114" spans="2:10">
      <c r="B114" s="118" t="s">
        <v>340</v>
      </c>
      <c r="C114" s="118" t="s">
        <v>106</v>
      </c>
      <c r="D114" s="118"/>
      <c r="E114" s="166">
        <f ca="1">E107*'3. General Model Inputs'!E12</f>
        <v>1253595502.1221931</v>
      </c>
      <c r="F114" s="166">
        <f ca="1">F107*'3. General Model Inputs'!F12</f>
        <v>1297408099.5743456</v>
      </c>
      <c r="G114" s="166">
        <f ca="1">G107*'3. General Model Inputs'!G12</f>
        <v>1355920129.865689</v>
      </c>
      <c r="H114" s="166">
        <f ca="1">H107*'3. General Model Inputs'!H12</f>
        <v>1442779477.8533006</v>
      </c>
      <c r="I114" s="166">
        <f ca="1">I107*'3. General Model Inputs'!I12</f>
        <v>1512776120.0819612</v>
      </c>
      <c r="J114" s="30"/>
    </row>
    <row r="115" spans="2:10">
      <c r="B115" s="118" t="s">
        <v>341</v>
      </c>
      <c r="C115" s="118" t="s">
        <v>106</v>
      </c>
      <c r="D115" s="118"/>
      <c r="E115" s="166">
        <f ca="1">E112-E114</f>
        <v>835730334.74812865</v>
      </c>
      <c r="F115" s="166">
        <f t="shared" ref="F115:I115" ca="1" si="21">F112-F114</f>
        <v>864938733.04956388</v>
      </c>
      <c r="G115" s="166">
        <f t="shared" ca="1" si="21"/>
        <v>911747494.12649512</v>
      </c>
      <c r="H115" s="166">
        <f t="shared" ca="1" si="21"/>
        <v>959710855.54813862</v>
      </c>
      <c r="I115" s="166">
        <f t="shared" ca="1" si="21"/>
        <v>1008517413.3879743</v>
      </c>
      <c r="J115" s="30"/>
    </row>
    <row r="116" spans="2:10">
      <c r="B116" s="118"/>
      <c r="C116" s="118"/>
      <c r="D116" s="118"/>
      <c r="E116" s="166"/>
      <c r="F116" s="166"/>
      <c r="G116" s="166"/>
      <c r="H116" s="166"/>
      <c r="I116" s="166"/>
      <c r="J116" s="30"/>
    </row>
    <row r="117" spans="2:10" ht="15.75">
      <c r="B117" s="22" t="s">
        <v>320</v>
      </c>
      <c r="C117" s="118"/>
      <c r="D117" s="118"/>
      <c r="E117" s="118"/>
      <c r="F117" s="118"/>
      <c r="G117" s="118"/>
      <c r="H117" s="118"/>
      <c r="I117" s="118"/>
    </row>
    <row r="118" spans="2:10">
      <c r="B118" s="118" t="s">
        <v>261</v>
      </c>
      <c r="C118" s="118" t="s">
        <v>106</v>
      </c>
      <c r="D118" s="118"/>
      <c r="E118" s="164">
        <f ca="1">'3. General Model Inputs'!E69</f>
        <v>25010877.192982454</v>
      </c>
      <c r="F118" s="164">
        <f ca="1">'3. General Model Inputs'!F69</f>
        <v>27250319.368421052</v>
      </c>
      <c r="G118" s="164">
        <f ca="1">'3. General Model Inputs'!G69</f>
        <v>27579858.947368421</v>
      </c>
      <c r="H118" s="164">
        <f ca="1">'3. General Model Inputs'!H69</f>
        <v>27918728.842105262</v>
      </c>
      <c r="I118" s="164">
        <f ca="1">'3. General Model Inputs'!I69</f>
        <v>28267271.368421055</v>
      </c>
    </row>
    <row r="119" spans="2:10">
      <c r="B119" s="118" t="s">
        <v>172</v>
      </c>
      <c r="C119" s="118" t="s">
        <v>106</v>
      </c>
      <c r="D119" s="118"/>
      <c r="E119" s="164">
        <f>'3. General Model Inputs'!E70+'3. General Model Inputs'!E74</f>
        <v>7490031.9876215588</v>
      </c>
      <c r="F119" s="164">
        <f>'3. General Model Inputs'!F70+'3. General Model Inputs'!F74</f>
        <v>8239179.8652112568</v>
      </c>
      <c r="G119" s="164">
        <f>'3. General Model Inputs'!G70+'3. General Model Inputs'!G74</f>
        <v>8629139.0178283695</v>
      </c>
      <c r="H119" s="164">
        <f>'3. General Model Inputs'!H70+'3. General Model Inputs'!H74</f>
        <v>9035010.5978270601</v>
      </c>
      <c r="I119" s="164">
        <f>'3. General Model Inputs'!I70+'3. General Model Inputs'!I74</f>
        <v>9344276.8408680335</v>
      </c>
    </row>
    <row r="120" spans="2:10">
      <c r="B120" s="118" t="s">
        <v>322</v>
      </c>
      <c r="C120" s="118" t="s">
        <v>106</v>
      </c>
      <c r="D120" s="118"/>
      <c r="E120" s="164">
        <f ca="1">'16. Water - MAR'!E63+'24. Sewer - MAR'!E62</f>
        <v>3668907.4888457358</v>
      </c>
      <c r="F120" s="164">
        <f ca="1">'16. Water - MAR'!F63+'24. Sewer - MAR'!F62</f>
        <v>4788381.908257341</v>
      </c>
      <c r="G120" s="164">
        <f ca="1">'16. Water - MAR'!G63+'24. Sewer - MAR'!G62</f>
        <v>4283778.6663822811</v>
      </c>
      <c r="H120" s="164">
        <f ca="1">'16. Water - MAR'!H63+'24. Sewer - MAR'!H62</f>
        <v>4018388.6396449143</v>
      </c>
      <c r="I120" s="164">
        <f ca="1">'16. Water - MAR'!I63+'24. Sewer - MAR'!I62</f>
        <v>3568176.7940785689</v>
      </c>
    </row>
    <row r="121" spans="2:10">
      <c r="B121" s="118" t="s">
        <v>321</v>
      </c>
      <c r="C121" s="118" t="s">
        <v>106</v>
      </c>
      <c r="D121" s="118"/>
      <c r="E121" s="164">
        <f ca="1">-E96</f>
        <v>41166716.731526986</v>
      </c>
      <c r="F121" s="164">
        <f t="shared" ref="F121:I121" ca="1" si="22">-F96</f>
        <v>40328531.557022505</v>
      </c>
      <c r="G121" s="164">
        <f t="shared" ca="1" si="22"/>
        <v>22536299.318175916</v>
      </c>
      <c r="H121" s="164">
        <f t="shared" ca="1" si="22"/>
        <v>22536299.318175916</v>
      </c>
      <c r="I121" s="164">
        <f t="shared" ca="1" si="22"/>
        <v>22536299.318175916</v>
      </c>
    </row>
    <row r="122" spans="2:10">
      <c r="B122" s="118" t="s">
        <v>323</v>
      </c>
      <c r="C122" s="118" t="s">
        <v>106</v>
      </c>
      <c r="D122" s="118"/>
      <c r="E122" s="164">
        <f>'7. Uriarra CSO Calculation'!E80+'8. Discovery Trail CSO'!E46+'9. Gas Abatement CSO'!E46</f>
        <v>-2353218.3932182696</v>
      </c>
      <c r="F122" s="164">
        <f>'7. Uriarra CSO Calculation'!F80+'8. Discovery Trail CSO'!F46+'9. Gas Abatement CSO'!F46</f>
        <v>-2338053.7225519298</v>
      </c>
      <c r="G122" s="164">
        <f>'7. Uriarra CSO Calculation'!G80+'8. Discovery Trail CSO'!G46+'9. Gas Abatement CSO'!G46</f>
        <v>-2316877.9381111301</v>
      </c>
      <c r="H122" s="164">
        <f>'7. Uriarra CSO Calculation'!H80+'8. Discovery Trail CSO'!H46+'9. Gas Abatement CSO'!H46</f>
        <v>-2294674.8996417224</v>
      </c>
      <c r="I122" s="164">
        <f>'7. Uriarra CSO Calculation'!I80+'8. Discovery Trail CSO'!I46+'9. Gas Abatement CSO'!I46</f>
        <v>-2270522.7838129774</v>
      </c>
    </row>
    <row r="123" spans="2:10">
      <c r="B123" s="118"/>
      <c r="C123" s="118"/>
      <c r="D123" s="118"/>
      <c r="E123" s="165">
        <f ca="1">SUM(E118:E122)</f>
        <v>74983315.007758468</v>
      </c>
      <c r="F123" s="165">
        <f ca="1">SUM(F118:F122)</f>
        <v>78268358.976360232</v>
      </c>
      <c r="G123" s="165">
        <f ca="1">SUM(G118:G122)</f>
        <v>60712198.011643857</v>
      </c>
      <c r="H123" s="165">
        <f ca="1">SUM(H118:H122)</f>
        <v>61213752.498111427</v>
      </c>
      <c r="I123" s="165">
        <f ca="1">SUM(I118:I122)</f>
        <v>61445501.537730597</v>
      </c>
    </row>
  </sheetData>
  <pageMargins left="0" right="0" top="0" bottom="0" header="0" footer="0"/>
  <pageSetup paperSize="9" scale="80"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7EFEF088-E6ED-FA40-8FD5-F58FFE90FCC5}">
            <xm:f>'2. Notes and Assumptions'!$D$92="ERROR"</xm:f>
            <x14:dxf>
              <font>
                <color theme="0"/>
              </font>
              <fill>
                <patternFill patternType="solid">
                  <fgColor indexed="64"/>
                  <bgColor rgb="FFFF0000"/>
                </patternFill>
              </fill>
            </x14:dxf>
          </x14:cfRule>
          <x14:cfRule type="expression" priority="2" id="{550D30FF-084C-E641-95B5-61DD00A49ABB}">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sheetPr codeName="Sheet23"/>
  <dimension ref="A1:I202"/>
  <sheetViews>
    <sheetView zoomScaleNormal="100" workbookViewId="0">
      <pane ySplit="4" topLeftCell="A5" activePane="bottomLeft" state="frozen"/>
      <selection pane="bottomLeft" activeCell="E39" sqref="E39"/>
    </sheetView>
  </sheetViews>
  <sheetFormatPr defaultColWidth="10.6640625" defaultRowHeight="15"/>
  <cols>
    <col min="1" max="1" width="30.5546875" style="35" customWidth="1"/>
    <col min="2" max="2" width="18.21875" style="2" customWidth="1"/>
    <col min="3" max="3" width="8.88671875" style="2" customWidth="1"/>
    <col min="4" max="4" width="9.44140625" style="2" customWidth="1"/>
    <col min="5" max="5" width="9.109375" style="2" customWidth="1"/>
    <col min="6" max="6" width="9.6640625" style="2" customWidth="1"/>
    <col min="7" max="7" width="9.44140625" style="2" customWidth="1"/>
    <col min="8" max="9" width="9.88671875" style="2" customWidth="1"/>
    <col min="10" max="16384" width="10.6640625" style="2"/>
  </cols>
  <sheetData>
    <row r="1" spans="1:9" s="6" customFormat="1" ht="17.25" customHeight="1">
      <c r="A1" s="92" t="s">
        <v>115</v>
      </c>
      <c r="B1" s="92"/>
      <c r="C1" s="92"/>
      <c r="D1" s="92"/>
      <c r="E1" s="92"/>
      <c r="F1" s="92"/>
      <c r="G1" s="92"/>
      <c r="H1" s="92"/>
    </row>
    <row r="2" spans="1:9" ht="18" customHeight="1">
      <c r="A2" s="3" t="str">
        <f ca="1">MID(CELL("filename",A1),FIND("]",CELL("filename",A1))+1,LEN(CELL("filename",A1))-FIND("]",CELL("filename",A1)))</f>
        <v>28. Bill Impacts - Case 1</v>
      </c>
      <c r="B2" s="3"/>
      <c r="C2" s="3"/>
      <c r="D2" s="3"/>
      <c r="E2" s="3"/>
      <c r="F2" s="3"/>
      <c r="G2" s="3"/>
      <c r="H2" s="3"/>
    </row>
    <row r="3" spans="1:9" s="6" customFormat="1">
      <c r="A3" s="35">
        <f>'2. Notes and Assumptions'!B72</f>
        <v>48</v>
      </c>
      <c r="B3" s="63"/>
      <c r="C3" s="16" t="s">
        <v>0</v>
      </c>
      <c r="D3" s="17">
        <v>0</v>
      </c>
      <c r="E3" s="17">
        <v>1</v>
      </c>
      <c r="F3" s="17">
        <v>2</v>
      </c>
      <c r="G3" s="17">
        <v>3</v>
      </c>
      <c r="H3" s="17">
        <v>4</v>
      </c>
      <c r="I3" s="17">
        <v>5</v>
      </c>
    </row>
    <row r="4" spans="1:9" s="6" customFormat="1">
      <c r="B4" s="65"/>
      <c r="C4" s="18" t="s">
        <v>1</v>
      </c>
      <c r="D4" s="19" t="s">
        <v>162</v>
      </c>
      <c r="E4" s="19" t="s">
        <v>10</v>
      </c>
      <c r="F4" s="19" t="s">
        <v>11</v>
      </c>
      <c r="G4" s="19" t="s">
        <v>2</v>
      </c>
      <c r="H4" s="19" t="s">
        <v>3</v>
      </c>
      <c r="I4" s="19" t="s">
        <v>4</v>
      </c>
    </row>
    <row r="5" spans="1:9" ht="15.75">
      <c r="B5" s="10" t="s">
        <v>158</v>
      </c>
    </row>
    <row r="6" spans="1:9">
      <c r="B6" s="2" t="s">
        <v>154</v>
      </c>
      <c r="C6" s="2" t="s">
        <v>97</v>
      </c>
      <c r="D6" s="75">
        <f>'3. General Model Inputs'!D87</f>
        <v>99.83</v>
      </c>
      <c r="E6" s="75">
        <f>'3. General Model Inputs'!E87</f>
        <v>100</v>
      </c>
      <c r="F6" s="75">
        <f>'3. General Model Inputs'!F87</f>
        <v>102.56</v>
      </c>
      <c r="G6" s="75">
        <f>'17. Water - Price Setting'!G30</f>
        <v>101.58286878777858</v>
      </c>
      <c r="H6" s="75">
        <f>'17. Water - Price Setting'!H30</f>
        <v>104.12244050747303</v>
      </c>
      <c r="I6" s="75">
        <f>'17. Water - Price Setting'!I30</f>
        <v>106.72550152015985</v>
      </c>
    </row>
    <row r="7" spans="1:9">
      <c r="B7" s="2" t="s">
        <v>100</v>
      </c>
      <c r="C7" s="2" t="s">
        <v>98</v>
      </c>
      <c r="D7" s="75">
        <f>'3. General Model Inputs'!D88</f>
        <v>2.4300000000000002</v>
      </c>
      <c r="E7" s="75">
        <f>'3. General Model Inputs'!E88</f>
        <v>2.5499999999999998</v>
      </c>
      <c r="F7" s="75">
        <f>'3. General Model Inputs'!F88</f>
        <v>2.64</v>
      </c>
      <c r="G7" s="75">
        <f>'17. Water - Price Setting'!G31</f>
        <v>2.614848728346979</v>
      </c>
      <c r="H7" s="75">
        <f>'17. Water - Price Setting'!H31</f>
        <v>2.6802199465556531</v>
      </c>
      <c r="I7" s="75">
        <f>'17. Water - Price Setting'!I31</f>
        <v>2.7472254452195441</v>
      </c>
    </row>
    <row r="8" spans="1:9">
      <c r="B8" s="2" t="s">
        <v>155</v>
      </c>
      <c r="C8" s="2" t="s">
        <v>98</v>
      </c>
      <c r="D8" s="75">
        <f>'3. General Model Inputs'!D89</f>
        <v>4.8600000000000003</v>
      </c>
      <c r="E8" s="75">
        <f>'3. General Model Inputs'!E89</f>
        <v>5.0999999999999996</v>
      </c>
      <c r="F8" s="75">
        <f>'3. General Model Inputs'!F89</f>
        <v>5.29</v>
      </c>
      <c r="G8" s="75">
        <f>'17. Water - Price Setting'!G32</f>
        <v>5.2396021867255778</v>
      </c>
      <c r="H8" s="75">
        <f>'17. Water - Price Setting'!H32</f>
        <v>5.3705922413937168</v>
      </c>
      <c r="I8" s="75">
        <f>'17. Water - Price Setting'!I32</f>
        <v>5.5048570474285592</v>
      </c>
    </row>
    <row r="9" spans="1:9">
      <c r="A9" s="35">
        <f>'2. Notes and Assumptions'!B43</f>
        <v>20</v>
      </c>
      <c r="B9" s="2" t="s">
        <v>156</v>
      </c>
      <c r="C9" s="2" t="s">
        <v>157</v>
      </c>
      <c r="D9" s="85">
        <f>'3. General Model Inputs'!D90</f>
        <v>0.54800000000000004</v>
      </c>
      <c r="E9" s="85">
        <f>'3. General Model Inputs'!E90</f>
        <v>0.54800000000000004</v>
      </c>
      <c r="F9" s="85">
        <f>'3. General Model Inputs'!F90</f>
        <v>0.54800000000000004</v>
      </c>
      <c r="G9" s="85">
        <f t="shared" ref="G9:I9" si="0">F9</f>
        <v>0.54800000000000004</v>
      </c>
      <c r="H9" s="85">
        <f t="shared" si="0"/>
        <v>0.54800000000000004</v>
      </c>
      <c r="I9" s="85">
        <f t="shared" si="0"/>
        <v>0.54800000000000004</v>
      </c>
    </row>
    <row r="10" spans="1:9">
      <c r="B10" s="2" t="s">
        <v>153</v>
      </c>
      <c r="C10" s="2" t="s">
        <v>97</v>
      </c>
      <c r="D10" s="75">
        <f>'3. General Model Inputs'!D91</f>
        <v>600.65</v>
      </c>
      <c r="E10" s="75">
        <f>'3. General Model Inputs'!E91</f>
        <v>492.02</v>
      </c>
      <c r="F10" s="75">
        <f>'3. General Model Inputs'!F91</f>
        <v>505.41</v>
      </c>
      <c r="G10" s="75">
        <f>'25. Sewer - Price Setting'!G25</f>
        <v>525.04761038216554</v>
      </c>
      <c r="H10" s="75">
        <f>'25. Sewer - Price Setting'!H25</f>
        <v>538.17380064171959</v>
      </c>
      <c r="I10" s="75">
        <f>'25. Sewer - Price Setting'!I25</f>
        <v>551.6281456577625</v>
      </c>
    </row>
    <row r="12" spans="1:9" ht="15.75">
      <c r="B12" s="10" t="s">
        <v>146</v>
      </c>
    </row>
    <row r="13" spans="1:9">
      <c r="A13" s="35">
        <f>'2. Notes and Assumptions'!B41</f>
        <v>19</v>
      </c>
      <c r="B13" s="2" t="s">
        <v>147</v>
      </c>
      <c r="C13" s="2" t="s">
        <v>104</v>
      </c>
      <c r="D13" s="88">
        <v>0.21619850861025575</v>
      </c>
      <c r="E13" s="88">
        <v>0.21619850861025575</v>
      </c>
      <c r="F13" s="88">
        <v>0.21619850861025575</v>
      </c>
      <c r="G13" s="88">
        <v>0.21619850861025575</v>
      </c>
      <c r="H13" s="88">
        <v>0.21619850861025575</v>
      </c>
      <c r="I13" s="88">
        <v>0.21619850861025575</v>
      </c>
    </row>
    <row r="14" spans="1:9">
      <c r="B14" s="2" t="s">
        <v>148</v>
      </c>
      <c r="C14" s="2" t="s">
        <v>104</v>
      </c>
      <c r="D14" s="88">
        <v>0.23774727035725293</v>
      </c>
      <c r="E14" s="88">
        <v>0.23774727035725293</v>
      </c>
      <c r="F14" s="88">
        <v>0.23774727035725293</v>
      </c>
      <c r="G14" s="88">
        <v>0.23774727035725293</v>
      </c>
      <c r="H14" s="88">
        <v>0.23774727035725293</v>
      </c>
      <c r="I14" s="88">
        <v>0.23774727035725293</v>
      </c>
    </row>
    <row r="15" spans="1:9">
      <c r="B15" s="2" t="s">
        <v>149</v>
      </c>
      <c r="C15" s="2" t="s">
        <v>104</v>
      </c>
      <c r="D15" s="88">
        <v>0.29298136664861363</v>
      </c>
      <c r="E15" s="88">
        <v>0.29298136664861363</v>
      </c>
      <c r="F15" s="88">
        <v>0.29298136664861363</v>
      </c>
      <c r="G15" s="88">
        <v>0.29298136664861363</v>
      </c>
      <c r="H15" s="88">
        <v>0.29298136664861363</v>
      </c>
      <c r="I15" s="88">
        <v>0.29298136664861363</v>
      </c>
    </row>
    <row r="16" spans="1:9">
      <c r="B16" s="2" t="s">
        <v>150</v>
      </c>
      <c r="C16" s="2" t="s">
        <v>104</v>
      </c>
      <c r="D16" s="88">
        <v>0.25307285438387772</v>
      </c>
      <c r="E16" s="88">
        <v>0.25307285438387772</v>
      </c>
      <c r="F16" s="88">
        <v>0.25307285438387772</v>
      </c>
      <c r="G16" s="88">
        <v>0.25307285438387772</v>
      </c>
      <c r="H16" s="88">
        <v>0.25307285438387772</v>
      </c>
      <c r="I16" s="88">
        <v>0.25307285438387772</v>
      </c>
    </row>
    <row r="17" spans="2:9">
      <c r="D17" s="86">
        <f>SUM(D13:D16)</f>
        <v>1</v>
      </c>
      <c r="E17" s="86">
        <f t="shared" ref="E17:I17" si="1">SUM(E13:E16)</f>
        <v>1</v>
      </c>
      <c r="F17" s="86">
        <f t="shared" si="1"/>
        <v>1</v>
      </c>
      <c r="G17" s="86">
        <f t="shared" si="1"/>
        <v>1</v>
      </c>
      <c r="H17" s="86">
        <f t="shared" si="1"/>
        <v>1</v>
      </c>
      <c r="I17" s="86">
        <f t="shared" si="1"/>
        <v>1</v>
      </c>
    </row>
    <row r="18" spans="2:9" ht="15.75" customHeight="1">
      <c r="D18" s="87"/>
    </row>
    <row r="19" spans="2:9" ht="15.75">
      <c r="B19" s="10" t="s">
        <v>152</v>
      </c>
      <c r="C19" s="25"/>
      <c r="D19" s="25"/>
      <c r="E19" s="25"/>
      <c r="F19" s="25"/>
      <c r="G19" s="25"/>
      <c r="H19" s="25"/>
      <c r="I19" s="25"/>
    </row>
    <row r="20" spans="2:9">
      <c r="B20" s="187">
        <v>0</v>
      </c>
      <c r="C20" s="25" t="s">
        <v>94</v>
      </c>
      <c r="D20" s="25">
        <f t="shared" ref="D20:I29" si="2">MIN($B20*D$13,(365/4)*D$9)+MIN($B20*D$14,(365/4)*D$9)+MIN($B20*D$15,(365/4)*D$9)+MIN($B20*D$16,(365/4)*D$9)</f>
        <v>0</v>
      </c>
      <c r="E20" s="25">
        <f t="shared" si="2"/>
        <v>0</v>
      </c>
      <c r="F20" s="25">
        <f t="shared" si="2"/>
        <v>0</v>
      </c>
      <c r="G20" s="25">
        <f t="shared" si="2"/>
        <v>0</v>
      </c>
      <c r="H20" s="25">
        <f t="shared" si="2"/>
        <v>0</v>
      </c>
      <c r="I20" s="25">
        <f t="shared" si="2"/>
        <v>0</v>
      </c>
    </row>
    <row r="21" spans="2:9">
      <c r="B21" s="187">
        <v>25</v>
      </c>
      <c r="C21" s="25" t="s">
        <v>94</v>
      </c>
      <c r="D21" s="25">
        <f t="shared" si="2"/>
        <v>25</v>
      </c>
      <c r="E21" s="25">
        <f t="shared" si="2"/>
        <v>25</v>
      </c>
      <c r="F21" s="25">
        <f t="shared" si="2"/>
        <v>25</v>
      </c>
      <c r="G21" s="25">
        <f t="shared" si="2"/>
        <v>25</v>
      </c>
      <c r="H21" s="25">
        <f t="shared" si="2"/>
        <v>25</v>
      </c>
      <c r="I21" s="25">
        <f t="shared" si="2"/>
        <v>25</v>
      </c>
    </row>
    <row r="22" spans="2:9">
      <c r="B22" s="187">
        <v>50</v>
      </c>
      <c r="C22" s="25" t="s">
        <v>94</v>
      </c>
      <c r="D22" s="25">
        <f t="shared" si="2"/>
        <v>50</v>
      </c>
      <c r="E22" s="25">
        <f t="shared" si="2"/>
        <v>50</v>
      </c>
      <c r="F22" s="25">
        <f t="shared" si="2"/>
        <v>50</v>
      </c>
      <c r="G22" s="25">
        <f t="shared" si="2"/>
        <v>50</v>
      </c>
      <c r="H22" s="25">
        <f t="shared" si="2"/>
        <v>50</v>
      </c>
      <c r="I22" s="25">
        <f t="shared" si="2"/>
        <v>50</v>
      </c>
    </row>
    <row r="23" spans="2:9">
      <c r="B23" s="187">
        <v>75</v>
      </c>
      <c r="C23" s="25" t="s">
        <v>94</v>
      </c>
      <c r="D23" s="25">
        <f t="shared" si="2"/>
        <v>75</v>
      </c>
      <c r="E23" s="25">
        <f t="shared" si="2"/>
        <v>75</v>
      </c>
      <c r="F23" s="25">
        <f t="shared" si="2"/>
        <v>75</v>
      </c>
      <c r="G23" s="25">
        <f t="shared" si="2"/>
        <v>75</v>
      </c>
      <c r="H23" s="25">
        <f t="shared" si="2"/>
        <v>75</v>
      </c>
      <c r="I23" s="25">
        <f t="shared" si="2"/>
        <v>75</v>
      </c>
    </row>
    <row r="24" spans="2:9">
      <c r="B24" s="187">
        <v>100</v>
      </c>
      <c r="C24" s="25" t="s">
        <v>94</v>
      </c>
      <c r="D24" s="25">
        <f t="shared" si="2"/>
        <v>100</v>
      </c>
      <c r="E24" s="25">
        <f t="shared" si="2"/>
        <v>100</v>
      </c>
      <c r="F24" s="25">
        <f t="shared" si="2"/>
        <v>100</v>
      </c>
      <c r="G24" s="25">
        <f t="shared" si="2"/>
        <v>100</v>
      </c>
      <c r="H24" s="25">
        <f t="shared" si="2"/>
        <v>100</v>
      </c>
      <c r="I24" s="25">
        <f t="shared" si="2"/>
        <v>100</v>
      </c>
    </row>
    <row r="25" spans="2:9">
      <c r="B25" s="187">
        <v>125</v>
      </c>
      <c r="C25" s="25" t="s">
        <v>94</v>
      </c>
      <c r="D25" s="25">
        <f t="shared" si="2"/>
        <v>125</v>
      </c>
      <c r="E25" s="25">
        <f t="shared" si="2"/>
        <v>125</v>
      </c>
      <c r="F25" s="25">
        <f t="shared" si="2"/>
        <v>125</v>
      </c>
      <c r="G25" s="25">
        <f t="shared" si="2"/>
        <v>125</v>
      </c>
      <c r="H25" s="25">
        <f t="shared" si="2"/>
        <v>125</v>
      </c>
      <c r="I25" s="25">
        <f t="shared" si="2"/>
        <v>125</v>
      </c>
    </row>
    <row r="26" spans="2:9">
      <c r="B26" s="187">
        <v>150</v>
      </c>
      <c r="C26" s="25" t="s">
        <v>94</v>
      </c>
      <c r="D26" s="25">
        <f t="shared" si="2"/>
        <v>150</v>
      </c>
      <c r="E26" s="25">
        <f t="shared" si="2"/>
        <v>150</v>
      </c>
      <c r="F26" s="25">
        <f t="shared" si="2"/>
        <v>150</v>
      </c>
      <c r="G26" s="25">
        <f t="shared" si="2"/>
        <v>150</v>
      </c>
      <c r="H26" s="25">
        <f t="shared" si="2"/>
        <v>150</v>
      </c>
      <c r="I26" s="25">
        <f t="shared" si="2"/>
        <v>150</v>
      </c>
    </row>
    <row r="27" spans="2:9">
      <c r="B27" s="187">
        <v>175</v>
      </c>
      <c r="C27" s="25" t="s">
        <v>94</v>
      </c>
      <c r="D27" s="25">
        <f t="shared" si="2"/>
        <v>173.73326083649263</v>
      </c>
      <c r="E27" s="25">
        <f t="shared" si="2"/>
        <v>173.73326083649263</v>
      </c>
      <c r="F27" s="25">
        <f t="shared" si="2"/>
        <v>173.73326083649263</v>
      </c>
      <c r="G27" s="25">
        <f t="shared" si="2"/>
        <v>173.73326083649263</v>
      </c>
      <c r="H27" s="25">
        <f t="shared" si="2"/>
        <v>173.73326083649263</v>
      </c>
      <c r="I27" s="25">
        <f t="shared" si="2"/>
        <v>173.73326083649263</v>
      </c>
    </row>
    <row r="28" spans="2:9">
      <c r="B28" s="187">
        <v>200</v>
      </c>
      <c r="C28" s="25" t="s">
        <v>94</v>
      </c>
      <c r="D28" s="25">
        <f t="shared" si="2"/>
        <v>190.79915579350174</v>
      </c>
      <c r="E28" s="25">
        <f t="shared" si="2"/>
        <v>190.79915579350174</v>
      </c>
      <c r="F28" s="25">
        <f t="shared" si="2"/>
        <v>190.79915579350174</v>
      </c>
      <c r="G28" s="25">
        <f t="shared" si="2"/>
        <v>190.79915579350174</v>
      </c>
      <c r="H28" s="25">
        <f t="shared" si="2"/>
        <v>190.79915579350174</v>
      </c>
      <c r="I28" s="25">
        <f t="shared" si="2"/>
        <v>190.79915579350174</v>
      </c>
    </row>
    <row r="29" spans="2:9">
      <c r="B29" s="187">
        <v>225</v>
      </c>
      <c r="C29" s="25" t="s">
        <v>94</v>
      </c>
      <c r="D29" s="25">
        <f t="shared" si="2"/>
        <v>198.65966443730753</v>
      </c>
      <c r="E29" s="25">
        <f t="shared" si="2"/>
        <v>198.65966443730753</v>
      </c>
      <c r="F29" s="25">
        <f t="shared" si="2"/>
        <v>198.65966443730753</v>
      </c>
      <c r="G29" s="25">
        <f t="shared" si="2"/>
        <v>198.65966443730753</v>
      </c>
      <c r="H29" s="25">
        <f t="shared" si="2"/>
        <v>198.65966443730753</v>
      </c>
      <c r="I29" s="25">
        <f t="shared" si="2"/>
        <v>198.65966443730753</v>
      </c>
    </row>
    <row r="30" spans="2:9">
      <c r="B30" s="187">
        <v>250</v>
      </c>
      <c r="C30" s="25" t="s">
        <v>94</v>
      </c>
      <c r="D30" s="25">
        <f t="shared" ref="D30:I39" si="3">MIN($B30*D$13,(365/4)*D$9)+MIN($B30*D$14,(365/4)*D$9)+MIN($B30*D$15,(365/4)*D$9)+MIN($B30*D$16,(365/4)*D$9)</f>
        <v>200.02</v>
      </c>
      <c r="E30" s="25">
        <f t="shared" si="3"/>
        <v>200.02</v>
      </c>
      <c r="F30" s="25">
        <f t="shared" si="3"/>
        <v>200.02</v>
      </c>
      <c r="G30" s="25">
        <f t="shared" si="3"/>
        <v>200.02</v>
      </c>
      <c r="H30" s="25">
        <f t="shared" si="3"/>
        <v>200.02</v>
      </c>
      <c r="I30" s="25">
        <f t="shared" si="3"/>
        <v>200.02</v>
      </c>
    </row>
    <row r="31" spans="2:9">
      <c r="B31" s="187">
        <v>275</v>
      </c>
      <c r="C31" s="25" t="s">
        <v>94</v>
      </c>
      <c r="D31" s="25">
        <f t="shared" si="3"/>
        <v>200.02</v>
      </c>
      <c r="E31" s="25">
        <f t="shared" si="3"/>
        <v>200.02</v>
      </c>
      <c r="F31" s="25">
        <f t="shared" si="3"/>
        <v>200.02</v>
      </c>
      <c r="G31" s="25">
        <f t="shared" si="3"/>
        <v>200.02</v>
      </c>
      <c r="H31" s="25">
        <f t="shared" si="3"/>
        <v>200.02</v>
      </c>
      <c r="I31" s="25">
        <f t="shared" si="3"/>
        <v>200.02</v>
      </c>
    </row>
    <row r="32" spans="2:9">
      <c r="B32" s="187">
        <v>300</v>
      </c>
      <c r="C32" s="25" t="s">
        <v>94</v>
      </c>
      <c r="D32" s="25">
        <f t="shared" si="3"/>
        <v>200.02</v>
      </c>
      <c r="E32" s="25">
        <f t="shared" si="3"/>
        <v>200.02</v>
      </c>
      <c r="F32" s="25">
        <f t="shared" si="3"/>
        <v>200.02</v>
      </c>
      <c r="G32" s="25">
        <f t="shared" si="3"/>
        <v>200.02</v>
      </c>
      <c r="H32" s="25">
        <f t="shared" si="3"/>
        <v>200.02</v>
      </c>
      <c r="I32" s="25">
        <f t="shared" si="3"/>
        <v>200.02</v>
      </c>
    </row>
    <row r="33" spans="2:9">
      <c r="B33" s="187">
        <v>325</v>
      </c>
      <c r="C33" s="25" t="s">
        <v>94</v>
      </c>
      <c r="D33" s="25">
        <f t="shared" si="3"/>
        <v>200.02</v>
      </c>
      <c r="E33" s="25">
        <f t="shared" si="3"/>
        <v>200.02</v>
      </c>
      <c r="F33" s="25">
        <f t="shared" si="3"/>
        <v>200.02</v>
      </c>
      <c r="G33" s="25">
        <f t="shared" si="3"/>
        <v>200.02</v>
      </c>
      <c r="H33" s="25">
        <f t="shared" si="3"/>
        <v>200.02</v>
      </c>
      <c r="I33" s="25">
        <f t="shared" si="3"/>
        <v>200.02</v>
      </c>
    </row>
    <row r="34" spans="2:9">
      <c r="B34" s="187">
        <v>350</v>
      </c>
      <c r="C34" s="25" t="s">
        <v>94</v>
      </c>
      <c r="D34" s="25">
        <f t="shared" si="3"/>
        <v>200.02</v>
      </c>
      <c r="E34" s="25">
        <f t="shared" si="3"/>
        <v>200.02</v>
      </c>
      <c r="F34" s="25">
        <f t="shared" si="3"/>
        <v>200.02</v>
      </c>
      <c r="G34" s="25">
        <f t="shared" si="3"/>
        <v>200.02</v>
      </c>
      <c r="H34" s="25">
        <f t="shared" si="3"/>
        <v>200.02</v>
      </c>
      <c r="I34" s="25">
        <f t="shared" si="3"/>
        <v>200.02</v>
      </c>
    </row>
    <row r="35" spans="2:9">
      <c r="B35" s="187">
        <v>375</v>
      </c>
      <c r="C35" s="25" t="s">
        <v>94</v>
      </c>
      <c r="D35" s="25">
        <f t="shared" si="3"/>
        <v>200.02</v>
      </c>
      <c r="E35" s="25">
        <f t="shared" si="3"/>
        <v>200.02</v>
      </c>
      <c r="F35" s="25">
        <f t="shared" si="3"/>
        <v>200.02</v>
      </c>
      <c r="G35" s="25">
        <f t="shared" si="3"/>
        <v>200.02</v>
      </c>
      <c r="H35" s="25">
        <f t="shared" si="3"/>
        <v>200.02</v>
      </c>
      <c r="I35" s="25">
        <f t="shared" si="3"/>
        <v>200.02</v>
      </c>
    </row>
    <row r="36" spans="2:9">
      <c r="B36" s="187">
        <v>400</v>
      </c>
      <c r="C36" s="25" t="s">
        <v>94</v>
      </c>
      <c r="D36" s="25">
        <f t="shared" si="3"/>
        <v>200.02</v>
      </c>
      <c r="E36" s="25">
        <f t="shared" si="3"/>
        <v>200.02</v>
      </c>
      <c r="F36" s="25">
        <f t="shared" si="3"/>
        <v>200.02</v>
      </c>
      <c r="G36" s="25">
        <f t="shared" si="3"/>
        <v>200.02</v>
      </c>
      <c r="H36" s="25">
        <f t="shared" si="3"/>
        <v>200.02</v>
      </c>
      <c r="I36" s="25">
        <f t="shared" si="3"/>
        <v>200.02</v>
      </c>
    </row>
    <row r="37" spans="2:9">
      <c r="B37" s="187">
        <v>425</v>
      </c>
      <c r="C37" s="25" t="s">
        <v>94</v>
      </c>
      <c r="D37" s="25">
        <f t="shared" si="3"/>
        <v>200.02</v>
      </c>
      <c r="E37" s="25">
        <f t="shared" si="3"/>
        <v>200.02</v>
      </c>
      <c r="F37" s="25">
        <f t="shared" si="3"/>
        <v>200.02</v>
      </c>
      <c r="G37" s="25">
        <f t="shared" si="3"/>
        <v>200.02</v>
      </c>
      <c r="H37" s="25">
        <f t="shared" si="3"/>
        <v>200.02</v>
      </c>
      <c r="I37" s="25">
        <f t="shared" si="3"/>
        <v>200.02</v>
      </c>
    </row>
    <row r="38" spans="2:9">
      <c r="B38" s="187">
        <v>450</v>
      </c>
      <c r="C38" s="25" t="s">
        <v>94</v>
      </c>
      <c r="D38" s="25">
        <f t="shared" si="3"/>
        <v>200.02</v>
      </c>
      <c r="E38" s="25">
        <f t="shared" si="3"/>
        <v>200.02</v>
      </c>
      <c r="F38" s="25">
        <f t="shared" si="3"/>
        <v>200.02</v>
      </c>
      <c r="G38" s="25">
        <f t="shared" si="3"/>
        <v>200.02</v>
      </c>
      <c r="H38" s="25">
        <f t="shared" si="3"/>
        <v>200.02</v>
      </c>
      <c r="I38" s="25">
        <f t="shared" si="3"/>
        <v>200.02</v>
      </c>
    </row>
    <row r="39" spans="2:9">
      <c r="B39" s="187">
        <v>475</v>
      </c>
      <c r="C39" s="25" t="s">
        <v>94</v>
      </c>
      <c r="D39" s="25">
        <f t="shared" si="3"/>
        <v>200.02</v>
      </c>
      <c r="E39" s="25">
        <f t="shared" si="3"/>
        <v>200.02</v>
      </c>
      <c r="F39" s="25">
        <f t="shared" si="3"/>
        <v>200.02</v>
      </c>
      <c r="G39" s="25">
        <f t="shared" si="3"/>
        <v>200.02</v>
      </c>
      <c r="H39" s="25">
        <f t="shared" si="3"/>
        <v>200.02</v>
      </c>
      <c r="I39" s="25">
        <f t="shared" si="3"/>
        <v>200.02</v>
      </c>
    </row>
    <row r="40" spans="2:9">
      <c r="B40" s="187">
        <v>500</v>
      </c>
      <c r="C40" s="25" t="s">
        <v>94</v>
      </c>
      <c r="D40" s="25">
        <f t="shared" ref="D40:I49" si="4">MIN($B40*D$13,(365/4)*D$9)+MIN($B40*D$14,(365/4)*D$9)+MIN($B40*D$15,(365/4)*D$9)+MIN($B40*D$16,(365/4)*D$9)</f>
        <v>200.02</v>
      </c>
      <c r="E40" s="25">
        <f t="shared" si="4"/>
        <v>200.02</v>
      </c>
      <c r="F40" s="25">
        <f t="shared" si="4"/>
        <v>200.02</v>
      </c>
      <c r="G40" s="25">
        <f t="shared" si="4"/>
        <v>200.02</v>
      </c>
      <c r="H40" s="25">
        <f t="shared" si="4"/>
        <v>200.02</v>
      </c>
      <c r="I40" s="25">
        <f t="shared" si="4"/>
        <v>200.02</v>
      </c>
    </row>
    <row r="41" spans="2:9">
      <c r="B41" s="187">
        <v>525</v>
      </c>
      <c r="C41" s="25" t="s">
        <v>94</v>
      </c>
      <c r="D41" s="25">
        <f t="shared" si="4"/>
        <v>200.02</v>
      </c>
      <c r="E41" s="25">
        <f t="shared" si="4"/>
        <v>200.02</v>
      </c>
      <c r="F41" s="25">
        <f t="shared" si="4"/>
        <v>200.02</v>
      </c>
      <c r="G41" s="25">
        <f t="shared" si="4"/>
        <v>200.02</v>
      </c>
      <c r="H41" s="25">
        <f t="shared" si="4"/>
        <v>200.02</v>
      </c>
      <c r="I41" s="25">
        <f t="shared" si="4"/>
        <v>200.02</v>
      </c>
    </row>
    <row r="42" spans="2:9">
      <c r="B42" s="187">
        <v>550</v>
      </c>
      <c r="C42" s="25" t="s">
        <v>94</v>
      </c>
      <c r="D42" s="25">
        <f t="shared" si="4"/>
        <v>200.02</v>
      </c>
      <c r="E42" s="25">
        <f t="shared" si="4"/>
        <v>200.02</v>
      </c>
      <c r="F42" s="25">
        <f t="shared" si="4"/>
        <v>200.02</v>
      </c>
      <c r="G42" s="25">
        <f t="shared" si="4"/>
        <v>200.02</v>
      </c>
      <c r="H42" s="25">
        <f t="shared" si="4"/>
        <v>200.02</v>
      </c>
      <c r="I42" s="25">
        <f t="shared" si="4"/>
        <v>200.02</v>
      </c>
    </row>
    <row r="43" spans="2:9">
      <c r="B43" s="187">
        <v>575</v>
      </c>
      <c r="C43" s="25" t="s">
        <v>94</v>
      </c>
      <c r="D43" s="25">
        <f t="shared" si="4"/>
        <v>200.02</v>
      </c>
      <c r="E43" s="25">
        <f t="shared" si="4"/>
        <v>200.02</v>
      </c>
      <c r="F43" s="25">
        <f t="shared" si="4"/>
        <v>200.02</v>
      </c>
      <c r="G43" s="25">
        <f t="shared" si="4"/>
        <v>200.02</v>
      </c>
      <c r="H43" s="25">
        <f t="shared" si="4"/>
        <v>200.02</v>
      </c>
      <c r="I43" s="25">
        <f t="shared" si="4"/>
        <v>200.02</v>
      </c>
    </row>
    <row r="44" spans="2:9">
      <c r="B44" s="187">
        <v>600</v>
      </c>
      <c r="C44" s="25" t="s">
        <v>94</v>
      </c>
      <c r="D44" s="25">
        <f t="shared" si="4"/>
        <v>200.02</v>
      </c>
      <c r="E44" s="25">
        <f t="shared" si="4"/>
        <v>200.02</v>
      </c>
      <c r="F44" s="25">
        <f t="shared" si="4"/>
        <v>200.02</v>
      </c>
      <c r="G44" s="25">
        <f t="shared" si="4"/>
        <v>200.02</v>
      </c>
      <c r="H44" s="25">
        <f t="shared" si="4"/>
        <v>200.02</v>
      </c>
      <c r="I44" s="25">
        <f t="shared" si="4"/>
        <v>200.02</v>
      </c>
    </row>
    <row r="45" spans="2:9">
      <c r="B45" s="187">
        <v>625</v>
      </c>
      <c r="C45" s="25" t="s">
        <v>94</v>
      </c>
      <c r="D45" s="25">
        <f t="shared" si="4"/>
        <v>200.02</v>
      </c>
      <c r="E45" s="25">
        <f t="shared" si="4"/>
        <v>200.02</v>
      </c>
      <c r="F45" s="25">
        <f t="shared" si="4"/>
        <v>200.02</v>
      </c>
      <c r="G45" s="25">
        <f t="shared" si="4"/>
        <v>200.02</v>
      </c>
      <c r="H45" s="25">
        <f t="shared" si="4"/>
        <v>200.02</v>
      </c>
      <c r="I45" s="25">
        <f t="shared" si="4"/>
        <v>200.02</v>
      </c>
    </row>
    <row r="46" spans="2:9">
      <c r="B46" s="187">
        <v>650</v>
      </c>
      <c r="C46" s="25" t="s">
        <v>94</v>
      </c>
      <c r="D46" s="25">
        <f t="shared" si="4"/>
        <v>200.02</v>
      </c>
      <c r="E46" s="25">
        <f t="shared" si="4"/>
        <v>200.02</v>
      </c>
      <c r="F46" s="25">
        <f t="shared" si="4"/>
        <v>200.02</v>
      </c>
      <c r="G46" s="25">
        <f t="shared" si="4"/>
        <v>200.02</v>
      </c>
      <c r="H46" s="25">
        <f t="shared" si="4"/>
        <v>200.02</v>
      </c>
      <c r="I46" s="25">
        <f t="shared" si="4"/>
        <v>200.02</v>
      </c>
    </row>
    <row r="47" spans="2:9">
      <c r="B47" s="187">
        <v>675</v>
      </c>
      <c r="C47" s="25" t="s">
        <v>94</v>
      </c>
      <c r="D47" s="25">
        <f t="shared" si="4"/>
        <v>200.02</v>
      </c>
      <c r="E47" s="25">
        <f t="shared" si="4"/>
        <v>200.02</v>
      </c>
      <c r="F47" s="25">
        <f t="shared" si="4"/>
        <v>200.02</v>
      </c>
      <c r="G47" s="25">
        <f t="shared" si="4"/>
        <v>200.02</v>
      </c>
      <c r="H47" s="25">
        <f t="shared" si="4"/>
        <v>200.02</v>
      </c>
      <c r="I47" s="25">
        <f t="shared" si="4"/>
        <v>200.02</v>
      </c>
    </row>
    <row r="48" spans="2:9">
      <c r="B48" s="187">
        <v>700</v>
      </c>
      <c r="C48" s="25" t="s">
        <v>94</v>
      </c>
      <c r="D48" s="25">
        <f t="shared" si="4"/>
        <v>200.02</v>
      </c>
      <c r="E48" s="25">
        <f t="shared" si="4"/>
        <v>200.02</v>
      </c>
      <c r="F48" s="25">
        <f t="shared" si="4"/>
        <v>200.02</v>
      </c>
      <c r="G48" s="25">
        <f t="shared" si="4"/>
        <v>200.02</v>
      </c>
      <c r="H48" s="25">
        <f t="shared" si="4"/>
        <v>200.02</v>
      </c>
      <c r="I48" s="25">
        <f t="shared" si="4"/>
        <v>200.02</v>
      </c>
    </row>
    <row r="49" spans="2:9">
      <c r="B49" s="187">
        <v>725</v>
      </c>
      <c r="C49" s="25" t="s">
        <v>94</v>
      </c>
      <c r="D49" s="25">
        <f t="shared" si="4"/>
        <v>200.02</v>
      </c>
      <c r="E49" s="25">
        <f t="shared" si="4"/>
        <v>200.02</v>
      </c>
      <c r="F49" s="25">
        <f t="shared" si="4"/>
        <v>200.02</v>
      </c>
      <c r="G49" s="25">
        <f t="shared" si="4"/>
        <v>200.02</v>
      </c>
      <c r="H49" s="25">
        <f t="shared" si="4"/>
        <v>200.02</v>
      </c>
      <c r="I49" s="25">
        <f t="shared" si="4"/>
        <v>200.02</v>
      </c>
    </row>
    <row r="50" spans="2:9">
      <c r="B50" s="187">
        <v>750</v>
      </c>
      <c r="C50" s="25" t="s">
        <v>94</v>
      </c>
      <c r="D50" s="25">
        <f t="shared" ref="D50:I60" si="5">MIN($B50*D$13,(365/4)*D$9)+MIN($B50*D$14,(365/4)*D$9)+MIN($B50*D$15,(365/4)*D$9)+MIN($B50*D$16,(365/4)*D$9)</f>
        <v>200.02</v>
      </c>
      <c r="E50" s="25">
        <f t="shared" si="5"/>
        <v>200.02</v>
      </c>
      <c r="F50" s="25">
        <f t="shared" si="5"/>
        <v>200.02</v>
      </c>
      <c r="G50" s="25">
        <f t="shared" si="5"/>
        <v>200.02</v>
      </c>
      <c r="H50" s="25">
        <f t="shared" si="5"/>
        <v>200.02</v>
      </c>
      <c r="I50" s="25">
        <f t="shared" si="5"/>
        <v>200.02</v>
      </c>
    </row>
    <row r="51" spans="2:9">
      <c r="B51" s="187">
        <v>775</v>
      </c>
      <c r="C51" s="25" t="s">
        <v>94</v>
      </c>
      <c r="D51" s="25">
        <f t="shared" si="5"/>
        <v>200.02</v>
      </c>
      <c r="E51" s="25">
        <f t="shared" si="5"/>
        <v>200.02</v>
      </c>
      <c r="F51" s="25">
        <f t="shared" si="5"/>
        <v>200.02</v>
      </c>
      <c r="G51" s="25">
        <f t="shared" si="5"/>
        <v>200.02</v>
      </c>
      <c r="H51" s="25">
        <f t="shared" si="5"/>
        <v>200.02</v>
      </c>
      <c r="I51" s="25">
        <f t="shared" si="5"/>
        <v>200.02</v>
      </c>
    </row>
    <row r="52" spans="2:9">
      <c r="B52" s="187">
        <v>800</v>
      </c>
      <c r="C52" s="25" t="s">
        <v>94</v>
      </c>
      <c r="D52" s="25">
        <f t="shared" si="5"/>
        <v>200.02</v>
      </c>
      <c r="E52" s="25">
        <f t="shared" si="5"/>
        <v>200.02</v>
      </c>
      <c r="F52" s="25">
        <f t="shared" si="5"/>
        <v>200.02</v>
      </c>
      <c r="G52" s="25">
        <f t="shared" si="5"/>
        <v>200.02</v>
      </c>
      <c r="H52" s="25">
        <f t="shared" si="5"/>
        <v>200.02</v>
      </c>
      <c r="I52" s="25">
        <f t="shared" si="5"/>
        <v>200.02</v>
      </c>
    </row>
    <row r="53" spans="2:9">
      <c r="B53" s="187">
        <v>825</v>
      </c>
      <c r="C53" s="25" t="s">
        <v>94</v>
      </c>
      <c r="D53" s="25">
        <f t="shared" si="5"/>
        <v>200.02</v>
      </c>
      <c r="E53" s="25">
        <f t="shared" si="5"/>
        <v>200.02</v>
      </c>
      <c r="F53" s="25">
        <f t="shared" si="5"/>
        <v>200.02</v>
      </c>
      <c r="G53" s="25">
        <f t="shared" si="5"/>
        <v>200.02</v>
      </c>
      <c r="H53" s="25">
        <f t="shared" si="5"/>
        <v>200.02</v>
      </c>
      <c r="I53" s="25">
        <f t="shared" si="5"/>
        <v>200.02</v>
      </c>
    </row>
    <row r="54" spans="2:9">
      <c r="B54" s="187">
        <v>850</v>
      </c>
      <c r="C54" s="25" t="s">
        <v>94</v>
      </c>
      <c r="D54" s="25">
        <f t="shared" si="5"/>
        <v>200.02</v>
      </c>
      <c r="E54" s="25">
        <f t="shared" si="5"/>
        <v>200.02</v>
      </c>
      <c r="F54" s="25">
        <f t="shared" si="5"/>
        <v>200.02</v>
      </c>
      <c r="G54" s="25">
        <f t="shared" si="5"/>
        <v>200.02</v>
      </c>
      <c r="H54" s="25">
        <f t="shared" si="5"/>
        <v>200.02</v>
      </c>
      <c r="I54" s="25">
        <f t="shared" si="5"/>
        <v>200.02</v>
      </c>
    </row>
    <row r="55" spans="2:9">
      <c r="B55" s="187">
        <v>875</v>
      </c>
      <c r="C55" s="25" t="s">
        <v>94</v>
      </c>
      <c r="D55" s="25">
        <f t="shared" si="5"/>
        <v>200.02</v>
      </c>
      <c r="E55" s="25">
        <f t="shared" si="5"/>
        <v>200.02</v>
      </c>
      <c r="F55" s="25">
        <f t="shared" si="5"/>
        <v>200.02</v>
      </c>
      <c r="G55" s="25">
        <f t="shared" si="5"/>
        <v>200.02</v>
      </c>
      <c r="H55" s="25">
        <f t="shared" si="5"/>
        <v>200.02</v>
      </c>
      <c r="I55" s="25">
        <f t="shared" si="5"/>
        <v>200.02</v>
      </c>
    </row>
    <row r="56" spans="2:9">
      <c r="B56" s="187">
        <v>900</v>
      </c>
      <c r="C56" s="25" t="s">
        <v>94</v>
      </c>
      <c r="D56" s="25">
        <f t="shared" si="5"/>
        <v>200.02</v>
      </c>
      <c r="E56" s="25">
        <f t="shared" si="5"/>
        <v>200.02</v>
      </c>
      <c r="F56" s="25">
        <f t="shared" si="5"/>
        <v>200.02</v>
      </c>
      <c r="G56" s="25">
        <f t="shared" si="5"/>
        <v>200.02</v>
      </c>
      <c r="H56" s="25">
        <f t="shared" si="5"/>
        <v>200.02</v>
      </c>
      <c r="I56" s="25">
        <f t="shared" si="5"/>
        <v>200.02</v>
      </c>
    </row>
    <row r="57" spans="2:9">
      <c r="B57" s="187">
        <v>1000</v>
      </c>
      <c r="C57" s="25" t="s">
        <v>94</v>
      </c>
      <c r="D57" s="25">
        <f t="shared" si="5"/>
        <v>200.02</v>
      </c>
      <c r="E57" s="25">
        <f t="shared" si="5"/>
        <v>200.02</v>
      </c>
      <c r="F57" s="25">
        <f t="shared" si="5"/>
        <v>200.02</v>
      </c>
      <c r="G57" s="25">
        <f t="shared" si="5"/>
        <v>200.02</v>
      </c>
      <c r="H57" s="25">
        <f t="shared" si="5"/>
        <v>200.02</v>
      </c>
      <c r="I57" s="25">
        <f t="shared" si="5"/>
        <v>200.02</v>
      </c>
    </row>
    <row r="58" spans="2:9">
      <c r="B58" s="187">
        <v>2000</v>
      </c>
      <c r="C58" s="25" t="s">
        <v>94</v>
      </c>
      <c r="D58" s="25">
        <f t="shared" si="5"/>
        <v>200.02</v>
      </c>
      <c r="E58" s="25">
        <f t="shared" si="5"/>
        <v>200.02</v>
      </c>
      <c r="F58" s="25">
        <f t="shared" si="5"/>
        <v>200.02</v>
      </c>
      <c r="G58" s="25">
        <f t="shared" si="5"/>
        <v>200.02</v>
      </c>
      <c r="H58" s="25">
        <f t="shared" si="5"/>
        <v>200.02</v>
      </c>
      <c r="I58" s="25">
        <f t="shared" si="5"/>
        <v>200.02</v>
      </c>
    </row>
    <row r="59" spans="2:9">
      <c r="B59" s="187">
        <v>5000</v>
      </c>
      <c r="C59" s="25" t="s">
        <v>94</v>
      </c>
      <c r="D59" s="25">
        <f t="shared" si="5"/>
        <v>200.02</v>
      </c>
      <c r="E59" s="25">
        <f t="shared" si="5"/>
        <v>200.02</v>
      </c>
      <c r="F59" s="25">
        <f t="shared" si="5"/>
        <v>200.02</v>
      </c>
      <c r="G59" s="25">
        <f t="shared" si="5"/>
        <v>200.02</v>
      </c>
      <c r="H59" s="25">
        <f t="shared" si="5"/>
        <v>200.02</v>
      </c>
      <c r="I59" s="25">
        <f t="shared" si="5"/>
        <v>200.02</v>
      </c>
    </row>
    <row r="60" spans="2:9">
      <c r="B60" s="187">
        <v>10000</v>
      </c>
      <c r="C60" s="25" t="s">
        <v>94</v>
      </c>
      <c r="D60" s="25">
        <f t="shared" si="5"/>
        <v>200.02</v>
      </c>
      <c r="E60" s="25">
        <f t="shared" si="5"/>
        <v>200.02</v>
      </c>
      <c r="F60" s="25">
        <f t="shared" si="5"/>
        <v>200.02</v>
      </c>
      <c r="G60" s="25">
        <f t="shared" si="5"/>
        <v>200.02</v>
      </c>
      <c r="H60" s="25">
        <f t="shared" si="5"/>
        <v>200.02</v>
      </c>
      <c r="I60" s="25">
        <f t="shared" si="5"/>
        <v>200.02</v>
      </c>
    </row>
    <row r="61" spans="2:9">
      <c r="C61" s="25"/>
      <c r="D61" s="25"/>
      <c r="E61" s="25"/>
      <c r="F61" s="25"/>
      <c r="G61" s="25"/>
      <c r="H61" s="25"/>
      <c r="I61" s="25"/>
    </row>
    <row r="62" spans="2:9" ht="15.75">
      <c r="B62" s="10" t="s">
        <v>151</v>
      </c>
      <c r="C62" s="25"/>
      <c r="D62" s="25"/>
      <c r="E62" s="25"/>
      <c r="F62" s="25"/>
      <c r="G62" s="25"/>
      <c r="H62" s="25"/>
      <c r="I62" s="25"/>
    </row>
    <row r="63" spans="2:9">
      <c r="B63" s="188">
        <f>B20</f>
        <v>0</v>
      </c>
      <c r="C63" s="25" t="s">
        <v>160</v>
      </c>
      <c r="D63" s="25">
        <f t="shared" ref="D63:I72" si="6">D$6+D$10+D$7*D20+D$8*($B63-D20)</f>
        <v>700.48</v>
      </c>
      <c r="E63" s="25">
        <f t="shared" si="6"/>
        <v>592.02</v>
      </c>
      <c r="F63" s="25">
        <f t="shared" si="6"/>
        <v>607.97</v>
      </c>
      <c r="G63" s="25">
        <f t="shared" si="6"/>
        <v>626.63047916994412</v>
      </c>
      <c r="H63" s="25">
        <f t="shared" si="6"/>
        <v>642.29624114919261</v>
      </c>
      <c r="I63" s="25">
        <f t="shared" si="6"/>
        <v>658.35364717792231</v>
      </c>
    </row>
    <row r="64" spans="2:9">
      <c r="B64" s="188">
        <f t="shared" ref="B64:B103" si="7">B21</f>
        <v>25</v>
      </c>
      <c r="C64" s="25" t="s">
        <v>160</v>
      </c>
      <c r="D64" s="25">
        <f t="shared" si="6"/>
        <v>761.23</v>
      </c>
      <c r="E64" s="25">
        <f t="shared" si="6"/>
        <v>655.77</v>
      </c>
      <c r="F64" s="25">
        <f t="shared" si="6"/>
        <v>673.97</v>
      </c>
      <c r="G64" s="25">
        <f t="shared" si="6"/>
        <v>692.00169737861859</v>
      </c>
      <c r="H64" s="25">
        <f t="shared" si="6"/>
        <v>709.30173981308394</v>
      </c>
      <c r="I64" s="25">
        <f t="shared" si="6"/>
        <v>727.03428330841098</v>
      </c>
    </row>
    <row r="65" spans="2:9">
      <c r="B65" s="188">
        <f t="shared" si="7"/>
        <v>50</v>
      </c>
      <c r="C65" s="25" t="s">
        <v>160</v>
      </c>
      <c r="D65" s="25">
        <f t="shared" si="6"/>
        <v>821.98</v>
      </c>
      <c r="E65" s="25">
        <f t="shared" si="6"/>
        <v>719.52</v>
      </c>
      <c r="F65" s="25">
        <f t="shared" si="6"/>
        <v>739.97</v>
      </c>
      <c r="G65" s="25">
        <f t="shared" si="6"/>
        <v>757.37291558729305</v>
      </c>
      <c r="H65" s="25">
        <f t="shared" si="6"/>
        <v>776.30723847697527</v>
      </c>
      <c r="I65" s="25">
        <f t="shared" si="6"/>
        <v>795.71491943889953</v>
      </c>
    </row>
    <row r="66" spans="2:9">
      <c r="B66" s="188">
        <f t="shared" si="7"/>
        <v>75</v>
      </c>
      <c r="C66" s="25" t="s">
        <v>160</v>
      </c>
      <c r="D66" s="25">
        <f t="shared" si="6"/>
        <v>882.73</v>
      </c>
      <c r="E66" s="25">
        <f t="shared" si="6"/>
        <v>783.27</v>
      </c>
      <c r="F66" s="25">
        <f t="shared" si="6"/>
        <v>805.97</v>
      </c>
      <c r="G66" s="25">
        <f t="shared" si="6"/>
        <v>822.74413379596751</v>
      </c>
      <c r="H66" s="25">
        <f t="shared" si="6"/>
        <v>843.3127371408666</v>
      </c>
      <c r="I66" s="25">
        <f t="shared" si="6"/>
        <v>864.39555556938808</v>
      </c>
    </row>
    <row r="67" spans="2:9">
      <c r="B67" s="188">
        <f t="shared" si="7"/>
        <v>100</v>
      </c>
      <c r="C67" s="25" t="s">
        <v>160</v>
      </c>
      <c r="D67" s="25">
        <f t="shared" si="6"/>
        <v>943.48</v>
      </c>
      <c r="E67" s="25">
        <f t="shared" si="6"/>
        <v>847.02</v>
      </c>
      <c r="F67" s="25">
        <f t="shared" si="6"/>
        <v>871.97</v>
      </c>
      <c r="G67" s="25">
        <f t="shared" si="6"/>
        <v>888.11535200464209</v>
      </c>
      <c r="H67" s="25">
        <f t="shared" si="6"/>
        <v>910.31823580475793</v>
      </c>
      <c r="I67" s="25">
        <f t="shared" si="6"/>
        <v>933.07619169987674</v>
      </c>
    </row>
    <row r="68" spans="2:9">
      <c r="B68" s="188">
        <f t="shared" si="7"/>
        <v>125</v>
      </c>
      <c r="C68" s="25" t="s">
        <v>160</v>
      </c>
      <c r="D68" s="25">
        <f t="shared" si="6"/>
        <v>1004.23</v>
      </c>
      <c r="E68" s="25">
        <f t="shared" si="6"/>
        <v>910.77</v>
      </c>
      <c r="F68" s="25">
        <f t="shared" si="6"/>
        <v>937.97</v>
      </c>
      <c r="G68" s="25">
        <f t="shared" si="6"/>
        <v>953.48657021331655</v>
      </c>
      <c r="H68" s="25">
        <f t="shared" si="6"/>
        <v>977.32373446864926</v>
      </c>
      <c r="I68" s="25">
        <f t="shared" si="6"/>
        <v>1001.7568278303654</v>
      </c>
    </row>
    <row r="69" spans="2:9">
      <c r="B69" s="188">
        <f t="shared" si="7"/>
        <v>150</v>
      </c>
      <c r="C69" s="25" t="s">
        <v>160</v>
      </c>
      <c r="D69" s="25">
        <f t="shared" si="6"/>
        <v>1064.98</v>
      </c>
      <c r="E69" s="25">
        <f t="shared" si="6"/>
        <v>974.52</v>
      </c>
      <c r="F69" s="25">
        <f t="shared" si="6"/>
        <v>1003.97</v>
      </c>
      <c r="G69" s="25">
        <f t="shared" si="6"/>
        <v>1018.857788421991</v>
      </c>
      <c r="H69" s="25">
        <f t="shared" si="6"/>
        <v>1044.3292331325406</v>
      </c>
      <c r="I69" s="25">
        <f t="shared" si="6"/>
        <v>1070.4374639608541</v>
      </c>
    </row>
    <row r="70" spans="2:9">
      <c r="B70" s="188">
        <f t="shared" si="7"/>
        <v>175</v>
      </c>
      <c r="C70" s="25" t="s">
        <v>160</v>
      </c>
      <c r="D70" s="25">
        <f t="shared" si="6"/>
        <v>1128.8081761673229</v>
      </c>
      <c r="E70" s="25">
        <f t="shared" si="6"/>
        <v>1041.5001848669438</v>
      </c>
      <c r="F70" s="25">
        <f t="shared" si="6"/>
        <v>1073.3268587832945</v>
      </c>
      <c r="G70" s="25">
        <f t="shared" si="6"/>
        <v>1087.553884630945</v>
      </c>
      <c r="H70" s="25">
        <f t="shared" si="6"/>
        <v>1114.7427317467184</v>
      </c>
      <c r="I70" s="25">
        <f t="shared" si="6"/>
        <v>1142.6113000403861</v>
      </c>
    </row>
    <row r="71" spans="2:9">
      <c r="B71" s="188">
        <f t="shared" si="7"/>
        <v>200</v>
      </c>
      <c r="C71" s="25" t="s">
        <v>160</v>
      </c>
      <c r="D71" s="25">
        <f t="shared" si="6"/>
        <v>1208.8380514217909</v>
      </c>
      <c r="E71" s="25">
        <f t="shared" si="6"/>
        <v>1125.4821527265706</v>
      </c>
      <c r="F71" s="25">
        <f t="shared" si="6"/>
        <v>1160.3522371472204</v>
      </c>
      <c r="G71" s="25">
        <f t="shared" si="6"/>
        <v>1173.7501724903491</v>
      </c>
      <c r="H71" s="25">
        <f t="shared" si="6"/>
        <v>1203.0939268026073</v>
      </c>
      <c r="I71" s="25">
        <f t="shared" si="6"/>
        <v>1233.1712749726723</v>
      </c>
    </row>
    <row r="72" spans="2:9">
      <c r="B72" s="188">
        <f t="shared" si="7"/>
        <v>225</v>
      </c>
      <c r="C72" s="25" t="s">
        <v>160</v>
      </c>
      <c r="D72" s="25">
        <f t="shared" si="6"/>
        <v>1311.2370154173427</v>
      </c>
      <c r="E72" s="25">
        <f t="shared" si="6"/>
        <v>1232.9378556848658</v>
      </c>
      <c r="F72" s="25">
        <f t="shared" si="6"/>
        <v>1271.7718892411353</v>
      </c>
      <c r="G72" s="25">
        <f t="shared" si="6"/>
        <v>1284.1083299110444</v>
      </c>
      <c r="H72" s="25">
        <f t="shared" si="6"/>
        <v>1316.21103815882</v>
      </c>
      <c r="I72" s="25">
        <f t="shared" si="6"/>
        <v>1349.1163141127904</v>
      </c>
    </row>
    <row r="73" spans="2:9">
      <c r="B73" s="188">
        <f t="shared" si="7"/>
        <v>250</v>
      </c>
      <c r="C73" s="25" t="s">
        <v>160</v>
      </c>
      <c r="D73" s="25">
        <f t="shared" ref="D73:I82" si="8">D$6+D$10+D$7*D30+D$8*($B73-D30)</f>
        <v>1429.4313999999999</v>
      </c>
      <c r="E73" s="25">
        <f t="shared" si="8"/>
        <v>1356.9689999999998</v>
      </c>
      <c r="F73" s="25">
        <f t="shared" si="8"/>
        <v>1400.4170000000001</v>
      </c>
      <c r="G73" s="25">
        <f t="shared" si="8"/>
        <v>1411.5278391064512</v>
      </c>
      <c r="H73" s="25">
        <f t="shared" si="8"/>
        <v>1446.8160350841124</v>
      </c>
      <c r="I73" s="25">
        <f t="shared" si="8"/>
        <v>1482.9864359612147</v>
      </c>
    </row>
    <row r="74" spans="2:9">
      <c r="B74" s="188">
        <f t="shared" si="7"/>
        <v>275</v>
      </c>
      <c r="C74" s="25" t="s">
        <v>160</v>
      </c>
      <c r="D74" s="25">
        <f t="shared" si="8"/>
        <v>1550.9313999999999</v>
      </c>
      <c r="E74" s="25">
        <f t="shared" si="8"/>
        <v>1484.4689999999998</v>
      </c>
      <c r="F74" s="25">
        <f t="shared" si="8"/>
        <v>1532.6670000000001</v>
      </c>
      <c r="G74" s="25">
        <f t="shared" si="8"/>
        <v>1542.5178937745904</v>
      </c>
      <c r="H74" s="25">
        <f t="shared" si="8"/>
        <v>1581.0808411189553</v>
      </c>
      <c r="I74" s="25">
        <f t="shared" si="8"/>
        <v>1620.6078621469287</v>
      </c>
    </row>
    <row r="75" spans="2:9">
      <c r="B75" s="188">
        <f t="shared" si="7"/>
        <v>300</v>
      </c>
      <c r="C75" s="25" t="s">
        <v>160</v>
      </c>
      <c r="D75" s="25">
        <f t="shared" si="8"/>
        <v>1672.4313999999999</v>
      </c>
      <c r="E75" s="25">
        <f t="shared" si="8"/>
        <v>1611.9689999999998</v>
      </c>
      <c r="F75" s="25">
        <f t="shared" si="8"/>
        <v>1664.9170000000001</v>
      </c>
      <c r="G75" s="25">
        <f t="shared" si="8"/>
        <v>1673.5079484427301</v>
      </c>
      <c r="H75" s="25">
        <f t="shared" si="8"/>
        <v>1715.3456471537982</v>
      </c>
      <c r="I75" s="25">
        <f t="shared" si="8"/>
        <v>1758.2292883326427</v>
      </c>
    </row>
    <row r="76" spans="2:9">
      <c r="B76" s="188">
        <f t="shared" si="7"/>
        <v>325</v>
      </c>
      <c r="C76" s="25" t="s">
        <v>160</v>
      </c>
      <c r="D76" s="25">
        <f t="shared" si="8"/>
        <v>1793.9313999999999</v>
      </c>
      <c r="E76" s="25">
        <f t="shared" si="8"/>
        <v>1739.4689999999998</v>
      </c>
      <c r="F76" s="25">
        <f t="shared" si="8"/>
        <v>1797.1670000000001</v>
      </c>
      <c r="G76" s="25">
        <f t="shared" si="8"/>
        <v>1804.4980031108694</v>
      </c>
      <c r="H76" s="25">
        <f t="shared" si="8"/>
        <v>1849.610453188641</v>
      </c>
      <c r="I76" s="25">
        <f t="shared" si="8"/>
        <v>1895.8507145183567</v>
      </c>
    </row>
    <row r="77" spans="2:9">
      <c r="B77" s="188">
        <f t="shared" si="7"/>
        <v>350</v>
      </c>
      <c r="C77" s="25" t="s">
        <v>160</v>
      </c>
      <c r="D77" s="25">
        <f t="shared" si="8"/>
        <v>1915.4313999999999</v>
      </c>
      <c r="E77" s="25">
        <f t="shared" si="8"/>
        <v>1866.9689999999998</v>
      </c>
      <c r="F77" s="25">
        <f t="shared" si="8"/>
        <v>1929.4170000000001</v>
      </c>
      <c r="G77" s="25">
        <f t="shared" si="8"/>
        <v>1935.4880577790088</v>
      </c>
      <c r="H77" s="25">
        <f t="shared" si="8"/>
        <v>1983.8752592234841</v>
      </c>
      <c r="I77" s="25">
        <f t="shared" si="8"/>
        <v>2033.4721407040706</v>
      </c>
    </row>
    <row r="78" spans="2:9">
      <c r="B78" s="188">
        <f t="shared" si="7"/>
        <v>375</v>
      </c>
      <c r="C78" s="25" t="s">
        <v>160</v>
      </c>
      <c r="D78" s="25">
        <f t="shared" si="8"/>
        <v>2036.9313999999999</v>
      </c>
      <c r="E78" s="25">
        <f t="shared" si="8"/>
        <v>1994.4689999999998</v>
      </c>
      <c r="F78" s="25">
        <f t="shared" si="8"/>
        <v>2061.6670000000004</v>
      </c>
      <c r="G78" s="25">
        <f t="shared" si="8"/>
        <v>2066.4781124471483</v>
      </c>
      <c r="H78" s="25">
        <f t="shared" si="8"/>
        <v>2118.140065258327</v>
      </c>
      <c r="I78" s="25">
        <f t="shared" si="8"/>
        <v>2171.0935668897846</v>
      </c>
    </row>
    <row r="79" spans="2:9">
      <c r="B79" s="188">
        <f t="shared" si="7"/>
        <v>400</v>
      </c>
      <c r="C79" s="25" t="s">
        <v>160</v>
      </c>
      <c r="D79" s="25">
        <f t="shared" si="8"/>
        <v>2158.4314000000004</v>
      </c>
      <c r="E79" s="25">
        <f t="shared" si="8"/>
        <v>2121.9690000000001</v>
      </c>
      <c r="F79" s="25">
        <f t="shared" si="8"/>
        <v>2193.9170000000004</v>
      </c>
      <c r="G79" s="25">
        <f t="shared" si="8"/>
        <v>2197.4681671152875</v>
      </c>
      <c r="H79" s="25">
        <f t="shared" si="8"/>
        <v>2252.4048712931699</v>
      </c>
      <c r="I79" s="25">
        <f t="shared" si="8"/>
        <v>2308.7149930754986</v>
      </c>
    </row>
    <row r="80" spans="2:9">
      <c r="B80" s="188">
        <f t="shared" si="7"/>
        <v>425</v>
      </c>
      <c r="C80" s="25" t="s">
        <v>160</v>
      </c>
      <c r="D80" s="25">
        <f t="shared" si="8"/>
        <v>2279.9314000000004</v>
      </c>
      <c r="E80" s="25">
        <f t="shared" si="8"/>
        <v>2249.4690000000001</v>
      </c>
      <c r="F80" s="25">
        <f t="shared" si="8"/>
        <v>2326.1670000000004</v>
      </c>
      <c r="G80" s="25">
        <f t="shared" si="8"/>
        <v>2328.4582217834272</v>
      </c>
      <c r="H80" s="25">
        <f t="shared" si="8"/>
        <v>2386.6696773280128</v>
      </c>
      <c r="I80" s="25">
        <f t="shared" si="8"/>
        <v>2446.3364192612125</v>
      </c>
    </row>
    <row r="81" spans="2:9">
      <c r="B81" s="188">
        <f t="shared" si="7"/>
        <v>450</v>
      </c>
      <c r="C81" s="25" t="s">
        <v>160</v>
      </c>
      <c r="D81" s="25">
        <f t="shared" si="8"/>
        <v>2401.4314000000004</v>
      </c>
      <c r="E81" s="25">
        <f t="shared" si="8"/>
        <v>2376.9690000000001</v>
      </c>
      <c r="F81" s="25">
        <f t="shared" si="8"/>
        <v>2458.4170000000004</v>
      </c>
      <c r="G81" s="25">
        <f t="shared" si="8"/>
        <v>2459.4482764515669</v>
      </c>
      <c r="H81" s="25">
        <f t="shared" si="8"/>
        <v>2520.9344833628556</v>
      </c>
      <c r="I81" s="25">
        <f t="shared" si="8"/>
        <v>2583.9578454469265</v>
      </c>
    </row>
    <row r="82" spans="2:9">
      <c r="B82" s="188">
        <f t="shared" si="7"/>
        <v>475</v>
      </c>
      <c r="C82" s="25" t="s">
        <v>160</v>
      </c>
      <c r="D82" s="25">
        <f t="shared" si="8"/>
        <v>2522.9314000000004</v>
      </c>
      <c r="E82" s="25">
        <f t="shared" si="8"/>
        <v>2504.4690000000001</v>
      </c>
      <c r="F82" s="25">
        <f t="shared" si="8"/>
        <v>2590.6670000000004</v>
      </c>
      <c r="G82" s="25">
        <f t="shared" si="8"/>
        <v>2590.4383311197062</v>
      </c>
      <c r="H82" s="25">
        <f t="shared" si="8"/>
        <v>2655.1992893976985</v>
      </c>
      <c r="I82" s="25">
        <f t="shared" si="8"/>
        <v>2721.5792716326405</v>
      </c>
    </row>
    <row r="83" spans="2:9">
      <c r="B83" s="188">
        <f t="shared" si="7"/>
        <v>500</v>
      </c>
      <c r="C83" s="25" t="s">
        <v>160</v>
      </c>
      <c r="D83" s="25">
        <f t="shared" ref="D83:I92" si="9">D$6+D$10+D$7*D40+D$8*($B83-D40)</f>
        <v>2644.4314000000004</v>
      </c>
      <c r="E83" s="25">
        <f t="shared" si="9"/>
        <v>2631.9690000000001</v>
      </c>
      <c r="F83" s="25">
        <f t="shared" si="9"/>
        <v>2722.9170000000004</v>
      </c>
      <c r="G83" s="25">
        <f t="shared" si="9"/>
        <v>2721.4283857878454</v>
      </c>
      <c r="H83" s="25">
        <f t="shared" si="9"/>
        <v>2789.4640954325414</v>
      </c>
      <c r="I83" s="25">
        <f t="shared" si="9"/>
        <v>2859.2006978183545</v>
      </c>
    </row>
    <row r="84" spans="2:9">
      <c r="B84" s="188">
        <f t="shared" si="7"/>
        <v>525</v>
      </c>
      <c r="C84" s="25" t="s">
        <v>160</v>
      </c>
      <c r="D84" s="25">
        <f t="shared" si="9"/>
        <v>2765.9314000000004</v>
      </c>
      <c r="E84" s="25">
        <f t="shared" si="9"/>
        <v>2759.4690000000001</v>
      </c>
      <c r="F84" s="25">
        <f t="shared" si="9"/>
        <v>2855.1670000000004</v>
      </c>
      <c r="G84" s="25">
        <f t="shared" si="9"/>
        <v>2852.4184404559851</v>
      </c>
      <c r="H84" s="25">
        <f t="shared" si="9"/>
        <v>2923.7289014673843</v>
      </c>
      <c r="I84" s="25">
        <f t="shared" si="9"/>
        <v>2996.8221240040689</v>
      </c>
    </row>
    <row r="85" spans="2:9">
      <c r="B85" s="188">
        <f t="shared" si="7"/>
        <v>550</v>
      </c>
      <c r="C85" s="25" t="s">
        <v>160</v>
      </c>
      <c r="D85" s="25">
        <f t="shared" si="9"/>
        <v>2887.4314000000004</v>
      </c>
      <c r="E85" s="25">
        <f t="shared" si="9"/>
        <v>2886.9690000000001</v>
      </c>
      <c r="F85" s="25">
        <f t="shared" si="9"/>
        <v>2987.4170000000004</v>
      </c>
      <c r="G85" s="25">
        <f t="shared" si="9"/>
        <v>2983.4084951241248</v>
      </c>
      <c r="H85" s="25">
        <f t="shared" si="9"/>
        <v>3057.9937075022276</v>
      </c>
      <c r="I85" s="25">
        <f t="shared" si="9"/>
        <v>3134.4435501897829</v>
      </c>
    </row>
    <row r="86" spans="2:9">
      <c r="B86" s="188">
        <f t="shared" si="7"/>
        <v>575</v>
      </c>
      <c r="C86" s="25" t="s">
        <v>160</v>
      </c>
      <c r="D86" s="25">
        <f t="shared" si="9"/>
        <v>3008.9314000000004</v>
      </c>
      <c r="E86" s="25">
        <f t="shared" si="9"/>
        <v>3014.4690000000001</v>
      </c>
      <c r="F86" s="25">
        <f t="shared" si="9"/>
        <v>3119.6670000000004</v>
      </c>
      <c r="G86" s="25">
        <f t="shared" si="9"/>
        <v>3114.398549792264</v>
      </c>
      <c r="H86" s="25">
        <f t="shared" si="9"/>
        <v>3192.2585135370705</v>
      </c>
      <c r="I86" s="25">
        <f t="shared" si="9"/>
        <v>3272.0649763754968</v>
      </c>
    </row>
    <row r="87" spans="2:9">
      <c r="B87" s="188">
        <f t="shared" si="7"/>
        <v>600</v>
      </c>
      <c r="C87" s="25" t="s">
        <v>160</v>
      </c>
      <c r="D87" s="25">
        <f t="shared" si="9"/>
        <v>3130.4314000000004</v>
      </c>
      <c r="E87" s="25">
        <f t="shared" si="9"/>
        <v>3141.9690000000001</v>
      </c>
      <c r="F87" s="25">
        <f t="shared" si="9"/>
        <v>3251.9170000000004</v>
      </c>
      <c r="G87" s="25">
        <f t="shared" si="9"/>
        <v>3245.3886044604033</v>
      </c>
      <c r="H87" s="25">
        <f t="shared" si="9"/>
        <v>3326.5233195719138</v>
      </c>
      <c r="I87" s="25">
        <f t="shared" si="9"/>
        <v>3409.6864025612108</v>
      </c>
    </row>
    <row r="88" spans="2:9">
      <c r="B88" s="188">
        <f t="shared" si="7"/>
        <v>625</v>
      </c>
      <c r="C88" s="25" t="s">
        <v>160</v>
      </c>
      <c r="D88" s="25">
        <f t="shared" si="9"/>
        <v>3251.9314000000004</v>
      </c>
      <c r="E88" s="25">
        <f t="shared" si="9"/>
        <v>3269.4690000000001</v>
      </c>
      <c r="F88" s="25">
        <f t="shared" si="9"/>
        <v>3384.1670000000004</v>
      </c>
      <c r="G88" s="25">
        <f t="shared" si="9"/>
        <v>3376.3786591285429</v>
      </c>
      <c r="H88" s="25">
        <f t="shared" si="9"/>
        <v>3460.7881256067567</v>
      </c>
      <c r="I88" s="25">
        <f t="shared" si="9"/>
        <v>3547.3078287469248</v>
      </c>
    </row>
    <row r="89" spans="2:9">
      <c r="B89" s="188">
        <f t="shared" si="7"/>
        <v>650</v>
      </c>
      <c r="C89" s="25" t="s">
        <v>160</v>
      </c>
      <c r="D89" s="25">
        <f t="shared" si="9"/>
        <v>3373.4314000000004</v>
      </c>
      <c r="E89" s="25">
        <f t="shared" si="9"/>
        <v>3396.9690000000001</v>
      </c>
      <c r="F89" s="25">
        <f t="shared" si="9"/>
        <v>3516.4170000000004</v>
      </c>
      <c r="G89" s="25">
        <f t="shared" si="9"/>
        <v>3507.3687137966822</v>
      </c>
      <c r="H89" s="25">
        <f t="shared" si="9"/>
        <v>3595.0529316415996</v>
      </c>
      <c r="I89" s="25">
        <f t="shared" si="9"/>
        <v>3684.9292549326387</v>
      </c>
    </row>
    <row r="90" spans="2:9">
      <c r="B90" s="188">
        <f t="shared" si="7"/>
        <v>675</v>
      </c>
      <c r="C90" s="25" t="s">
        <v>160</v>
      </c>
      <c r="D90" s="25">
        <f t="shared" si="9"/>
        <v>3494.9314000000004</v>
      </c>
      <c r="E90" s="25">
        <f t="shared" si="9"/>
        <v>3524.4690000000001</v>
      </c>
      <c r="F90" s="25">
        <f t="shared" si="9"/>
        <v>3648.6670000000004</v>
      </c>
      <c r="G90" s="25">
        <f t="shared" si="9"/>
        <v>3638.3587684648219</v>
      </c>
      <c r="H90" s="25">
        <f t="shared" si="9"/>
        <v>3729.3177376764424</v>
      </c>
      <c r="I90" s="25">
        <f t="shared" si="9"/>
        <v>3822.5506811183527</v>
      </c>
    </row>
    <row r="91" spans="2:9">
      <c r="B91" s="188">
        <f t="shared" si="7"/>
        <v>700</v>
      </c>
      <c r="C91" s="25" t="s">
        <v>160</v>
      </c>
      <c r="D91" s="25">
        <f t="shared" si="9"/>
        <v>3616.4314000000004</v>
      </c>
      <c r="E91" s="25">
        <f t="shared" si="9"/>
        <v>3651.9690000000001</v>
      </c>
      <c r="F91" s="25">
        <f t="shared" si="9"/>
        <v>3780.9170000000004</v>
      </c>
      <c r="G91" s="25">
        <f t="shared" si="9"/>
        <v>3769.3488231329611</v>
      </c>
      <c r="H91" s="25">
        <f t="shared" si="9"/>
        <v>3863.5825437112853</v>
      </c>
      <c r="I91" s="25">
        <f t="shared" si="9"/>
        <v>3960.1721073040667</v>
      </c>
    </row>
    <row r="92" spans="2:9">
      <c r="B92" s="188">
        <f t="shared" si="7"/>
        <v>725</v>
      </c>
      <c r="C92" s="25" t="s">
        <v>160</v>
      </c>
      <c r="D92" s="25">
        <f t="shared" si="9"/>
        <v>3737.9314000000004</v>
      </c>
      <c r="E92" s="25">
        <f t="shared" si="9"/>
        <v>3779.4689999999996</v>
      </c>
      <c r="F92" s="25">
        <f t="shared" si="9"/>
        <v>3913.1670000000004</v>
      </c>
      <c r="G92" s="25">
        <f t="shared" si="9"/>
        <v>3900.3388778011008</v>
      </c>
      <c r="H92" s="25">
        <f t="shared" si="9"/>
        <v>3997.8473497461282</v>
      </c>
      <c r="I92" s="25">
        <f t="shared" si="9"/>
        <v>4097.7935334897811</v>
      </c>
    </row>
    <row r="93" spans="2:9">
      <c r="B93" s="188">
        <f t="shared" si="7"/>
        <v>750</v>
      </c>
      <c r="C93" s="25" t="s">
        <v>160</v>
      </c>
      <c r="D93" s="25">
        <f t="shared" ref="D93:I102" si="10">D$6+D$10+D$7*D50+D$8*($B93-D50)</f>
        <v>3859.4314000000004</v>
      </c>
      <c r="E93" s="25">
        <f t="shared" si="10"/>
        <v>3906.9689999999996</v>
      </c>
      <c r="F93" s="25">
        <f t="shared" si="10"/>
        <v>4045.4170000000004</v>
      </c>
      <c r="G93" s="25">
        <f t="shared" si="10"/>
        <v>4031.32893246924</v>
      </c>
      <c r="H93" s="25">
        <f t="shared" si="10"/>
        <v>4132.1121557809711</v>
      </c>
      <c r="I93" s="25">
        <f t="shared" si="10"/>
        <v>4235.4149596754942</v>
      </c>
    </row>
    <row r="94" spans="2:9">
      <c r="B94" s="188">
        <f t="shared" si="7"/>
        <v>775</v>
      </c>
      <c r="C94" s="25" t="s">
        <v>160</v>
      </c>
      <c r="D94" s="25">
        <f t="shared" si="10"/>
        <v>3980.9314000000004</v>
      </c>
      <c r="E94" s="25">
        <f t="shared" si="10"/>
        <v>4034.4689999999996</v>
      </c>
      <c r="F94" s="25">
        <f t="shared" si="10"/>
        <v>4177.6670000000004</v>
      </c>
      <c r="G94" s="25">
        <f t="shared" si="10"/>
        <v>4162.3189871373797</v>
      </c>
      <c r="H94" s="25">
        <f t="shared" si="10"/>
        <v>4266.376961815814</v>
      </c>
      <c r="I94" s="25">
        <f t="shared" si="10"/>
        <v>4373.0363858612091</v>
      </c>
    </row>
    <row r="95" spans="2:9">
      <c r="B95" s="188">
        <f t="shared" si="7"/>
        <v>800</v>
      </c>
      <c r="C95" s="25" t="s">
        <v>160</v>
      </c>
      <c r="D95" s="25">
        <f t="shared" si="10"/>
        <v>4102.4314000000004</v>
      </c>
      <c r="E95" s="25">
        <f t="shared" si="10"/>
        <v>4161.9689999999991</v>
      </c>
      <c r="F95" s="25">
        <f t="shared" si="10"/>
        <v>4309.9170000000004</v>
      </c>
      <c r="G95" s="25">
        <f t="shared" si="10"/>
        <v>4293.309041805519</v>
      </c>
      <c r="H95" s="25">
        <f t="shared" si="10"/>
        <v>4400.6417678506568</v>
      </c>
      <c r="I95" s="25">
        <f t="shared" si="10"/>
        <v>4510.6578120469221</v>
      </c>
    </row>
    <row r="96" spans="2:9">
      <c r="B96" s="188">
        <f t="shared" si="7"/>
        <v>825</v>
      </c>
      <c r="C96" s="25" t="s">
        <v>160</v>
      </c>
      <c r="D96" s="25">
        <f t="shared" si="10"/>
        <v>4223.9314000000004</v>
      </c>
      <c r="E96" s="25">
        <f t="shared" si="10"/>
        <v>4289.4689999999991</v>
      </c>
      <c r="F96" s="25">
        <f t="shared" si="10"/>
        <v>4442.1670000000004</v>
      </c>
      <c r="G96" s="25">
        <f t="shared" si="10"/>
        <v>4424.2990964736582</v>
      </c>
      <c r="H96" s="25">
        <f t="shared" si="10"/>
        <v>4534.9065738854997</v>
      </c>
      <c r="I96" s="25">
        <f t="shared" si="10"/>
        <v>4648.279238232637</v>
      </c>
    </row>
    <row r="97" spans="2:9">
      <c r="B97" s="188">
        <f t="shared" si="7"/>
        <v>850</v>
      </c>
      <c r="C97" s="25" t="s">
        <v>160</v>
      </c>
      <c r="D97" s="25">
        <f t="shared" si="10"/>
        <v>4345.4314000000004</v>
      </c>
      <c r="E97" s="25">
        <f t="shared" si="10"/>
        <v>4416.9689999999991</v>
      </c>
      <c r="F97" s="25">
        <f t="shared" si="10"/>
        <v>4574.4170000000004</v>
      </c>
      <c r="G97" s="25">
        <f t="shared" si="10"/>
        <v>4555.2891511417984</v>
      </c>
      <c r="H97" s="25">
        <f t="shared" si="10"/>
        <v>4669.1713799203426</v>
      </c>
      <c r="I97" s="25">
        <f t="shared" si="10"/>
        <v>4785.9006644183501</v>
      </c>
    </row>
    <row r="98" spans="2:9">
      <c r="B98" s="188">
        <f t="shared" si="7"/>
        <v>875</v>
      </c>
      <c r="C98" s="25" t="s">
        <v>160</v>
      </c>
      <c r="D98" s="25">
        <f t="shared" si="10"/>
        <v>4466.9314000000004</v>
      </c>
      <c r="E98" s="25">
        <f t="shared" si="10"/>
        <v>4544.4689999999991</v>
      </c>
      <c r="F98" s="25">
        <f t="shared" si="10"/>
        <v>4706.6670000000004</v>
      </c>
      <c r="G98" s="25">
        <f t="shared" si="10"/>
        <v>4686.2792058099367</v>
      </c>
      <c r="H98" s="25">
        <f t="shared" si="10"/>
        <v>4803.4361859551855</v>
      </c>
      <c r="I98" s="25">
        <f t="shared" si="10"/>
        <v>4923.5220906040649</v>
      </c>
    </row>
    <row r="99" spans="2:9">
      <c r="B99" s="188">
        <f t="shared" si="7"/>
        <v>900</v>
      </c>
      <c r="C99" s="25" t="s">
        <v>160</v>
      </c>
      <c r="D99" s="25">
        <f t="shared" si="10"/>
        <v>4588.4314000000004</v>
      </c>
      <c r="E99" s="25">
        <f t="shared" si="10"/>
        <v>4671.9689999999991</v>
      </c>
      <c r="F99" s="25">
        <f t="shared" si="10"/>
        <v>4838.9170000000004</v>
      </c>
      <c r="G99" s="25">
        <f t="shared" si="10"/>
        <v>4817.2692604780768</v>
      </c>
      <c r="H99" s="25">
        <f t="shared" si="10"/>
        <v>4937.7009919900283</v>
      </c>
      <c r="I99" s="25">
        <f t="shared" si="10"/>
        <v>5061.143516789778</v>
      </c>
    </row>
    <row r="100" spans="2:9">
      <c r="B100" s="188">
        <f t="shared" si="7"/>
        <v>1000</v>
      </c>
      <c r="C100" s="25" t="s">
        <v>160</v>
      </c>
      <c r="D100" s="25">
        <f t="shared" si="10"/>
        <v>5074.4314000000004</v>
      </c>
      <c r="E100" s="25">
        <f t="shared" si="10"/>
        <v>5181.9689999999991</v>
      </c>
      <c r="F100" s="25">
        <f t="shared" si="10"/>
        <v>5367.9169999999995</v>
      </c>
      <c r="G100" s="25">
        <f t="shared" si="10"/>
        <v>5341.2294791506347</v>
      </c>
      <c r="H100" s="25">
        <f t="shared" si="10"/>
        <v>5474.7602161294008</v>
      </c>
      <c r="I100" s="25">
        <f t="shared" si="10"/>
        <v>5611.6292215326348</v>
      </c>
    </row>
    <row r="101" spans="2:9">
      <c r="B101" s="188">
        <f t="shared" si="7"/>
        <v>2000</v>
      </c>
      <c r="C101" s="25" t="s">
        <v>160</v>
      </c>
      <c r="D101" s="25">
        <f t="shared" si="10"/>
        <v>9934.4313999999995</v>
      </c>
      <c r="E101" s="25">
        <f t="shared" si="10"/>
        <v>10281.968999999999</v>
      </c>
      <c r="F101" s="25">
        <f t="shared" si="10"/>
        <v>10657.917000000001</v>
      </c>
      <c r="G101" s="25">
        <f t="shared" si="10"/>
        <v>10580.831665876212</v>
      </c>
      <c r="H101" s="25">
        <f t="shared" si="10"/>
        <v>10845.352457523117</v>
      </c>
      <c r="I101" s="25">
        <f t="shared" si="10"/>
        <v>11116.486268961193</v>
      </c>
    </row>
    <row r="102" spans="2:9">
      <c r="B102" s="188">
        <f t="shared" si="7"/>
        <v>5000</v>
      </c>
      <c r="C102" s="25" t="s">
        <v>160</v>
      </c>
      <c r="D102" s="25">
        <f t="shared" si="10"/>
        <v>24514.431400000001</v>
      </c>
      <c r="E102" s="25">
        <f t="shared" si="10"/>
        <v>25581.968999999997</v>
      </c>
      <c r="F102" s="25">
        <f t="shared" si="10"/>
        <v>26527.916999999998</v>
      </c>
      <c r="G102" s="25">
        <f t="shared" si="10"/>
        <v>26299.638226052943</v>
      </c>
      <c r="H102" s="25">
        <f t="shared" si="10"/>
        <v>26957.129181704262</v>
      </c>
      <c r="I102" s="25">
        <f t="shared" si="10"/>
        <v>27631.057411246868</v>
      </c>
    </row>
    <row r="103" spans="2:9">
      <c r="B103" s="188">
        <f t="shared" si="7"/>
        <v>10000</v>
      </c>
      <c r="C103" s="25" t="s">
        <v>160</v>
      </c>
      <c r="D103" s="25">
        <f t="shared" ref="D103:I103" si="11">D$6+D$10+D$7*D60+D$8*($B103-D60)</f>
        <v>48814.431400000001</v>
      </c>
      <c r="E103" s="25">
        <f t="shared" si="11"/>
        <v>51081.968999999997</v>
      </c>
      <c r="F103" s="25">
        <f t="shared" si="11"/>
        <v>52977.916999999994</v>
      </c>
      <c r="G103" s="25">
        <f t="shared" si="11"/>
        <v>52497.649159680834</v>
      </c>
      <c r="H103" s="25">
        <f t="shared" si="11"/>
        <v>53810.090388672848</v>
      </c>
      <c r="I103" s="25">
        <f t="shared" si="11"/>
        <v>55155.342648389662</v>
      </c>
    </row>
    <row r="105" spans="2:9" ht="15.75">
      <c r="B105" s="10" t="s">
        <v>161</v>
      </c>
      <c r="C105" s="25"/>
      <c r="D105" s="25"/>
      <c r="E105" s="25"/>
      <c r="F105" s="25"/>
      <c r="G105" s="25"/>
      <c r="H105" s="25"/>
      <c r="I105" s="25"/>
    </row>
    <row r="106" spans="2:9">
      <c r="B106" s="188">
        <f>B63</f>
        <v>0</v>
      </c>
      <c r="C106" s="25" t="s">
        <v>160</v>
      </c>
      <c r="D106" s="25"/>
      <c r="E106" s="25">
        <f>E63-D63</f>
        <v>-108.46000000000004</v>
      </c>
      <c r="F106" s="25">
        <f t="shared" ref="F106:I106" si="12">F63-E63</f>
        <v>15.950000000000045</v>
      </c>
      <c r="G106" s="25">
        <f t="shared" si="12"/>
        <v>18.660479169944097</v>
      </c>
      <c r="H106" s="25">
        <f t="shared" si="12"/>
        <v>15.665761979248487</v>
      </c>
      <c r="I106" s="25">
        <f t="shared" si="12"/>
        <v>16.057406028729702</v>
      </c>
    </row>
    <row r="107" spans="2:9">
      <c r="B107" s="188">
        <f t="shared" ref="B107:B146" si="13">B64</f>
        <v>25</v>
      </c>
      <c r="C107" s="25" t="s">
        <v>160</v>
      </c>
      <c r="D107" s="25"/>
      <c r="E107" s="25">
        <f t="shared" ref="E107:I107" si="14">E64-D64</f>
        <v>-105.46000000000004</v>
      </c>
      <c r="F107" s="25">
        <f t="shared" si="14"/>
        <v>18.200000000000045</v>
      </c>
      <c r="G107" s="25">
        <f t="shared" si="14"/>
        <v>18.03169737861856</v>
      </c>
      <c r="H107" s="25">
        <f t="shared" si="14"/>
        <v>17.300042434465354</v>
      </c>
      <c r="I107" s="25">
        <f t="shared" si="14"/>
        <v>17.732543495327036</v>
      </c>
    </row>
    <row r="108" spans="2:9">
      <c r="B108" s="188">
        <f t="shared" si="13"/>
        <v>50</v>
      </c>
      <c r="C108" s="25" t="s">
        <v>160</v>
      </c>
      <c r="D108" s="25"/>
      <c r="E108" s="25">
        <f t="shared" ref="E108:I108" si="15">E65-D65</f>
        <v>-102.46000000000004</v>
      </c>
      <c r="F108" s="25">
        <f t="shared" si="15"/>
        <v>20.450000000000045</v>
      </c>
      <c r="G108" s="25">
        <f t="shared" si="15"/>
        <v>17.402915587293023</v>
      </c>
      <c r="H108" s="25">
        <f t="shared" si="15"/>
        <v>18.934322889682221</v>
      </c>
      <c r="I108" s="25">
        <f t="shared" si="15"/>
        <v>19.407680961924257</v>
      </c>
    </row>
    <row r="109" spans="2:9">
      <c r="B109" s="188">
        <f t="shared" si="13"/>
        <v>75</v>
      </c>
      <c r="C109" s="25" t="s">
        <v>160</v>
      </c>
      <c r="D109" s="25"/>
      <c r="E109" s="25">
        <f t="shared" ref="E109:I109" si="16">E66-D66</f>
        <v>-99.460000000000036</v>
      </c>
      <c r="F109" s="25">
        <f t="shared" si="16"/>
        <v>22.700000000000045</v>
      </c>
      <c r="G109" s="25">
        <f t="shared" si="16"/>
        <v>16.774133795967487</v>
      </c>
      <c r="H109" s="25">
        <f t="shared" si="16"/>
        <v>20.568603344899088</v>
      </c>
      <c r="I109" s="25">
        <f t="shared" si="16"/>
        <v>21.082818428521477</v>
      </c>
    </row>
    <row r="110" spans="2:9">
      <c r="B110" s="188">
        <f t="shared" si="13"/>
        <v>100</v>
      </c>
      <c r="C110" s="25" t="s">
        <v>160</v>
      </c>
      <c r="D110" s="25"/>
      <c r="E110" s="25">
        <f t="shared" ref="E110:I110" si="17">E67-D67</f>
        <v>-96.460000000000036</v>
      </c>
      <c r="F110" s="25">
        <f t="shared" si="17"/>
        <v>24.950000000000045</v>
      </c>
      <c r="G110" s="25">
        <f t="shared" si="17"/>
        <v>16.145352004642064</v>
      </c>
      <c r="H110" s="25">
        <f t="shared" si="17"/>
        <v>22.202883800115842</v>
      </c>
      <c r="I110" s="25">
        <f t="shared" si="17"/>
        <v>22.757955895118812</v>
      </c>
    </row>
    <row r="111" spans="2:9">
      <c r="B111" s="188">
        <f t="shared" si="13"/>
        <v>125</v>
      </c>
      <c r="C111" s="25" t="s">
        <v>160</v>
      </c>
      <c r="D111" s="25"/>
      <c r="E111" s="25">
        <f t="shared" ref="E111:I111" si="18">E68-D68</f>
        <v>-93.460000000000036</v>
      </c>
      <c r="F111" s="25">
        <f t="shared" si="18"/>
        <v>27.200000000000045</v>
      </c>
      <c r="G111" s="25">
        <f t="shared" si="18"/>
        <v>15.516570213316527</v>
      </c>
      <c r="H111" s="25">
        <f t="shared" si="18"/>
        <v>23.837164255332709</v>
      </c>
      <c r="I111" s="25">
        <f t="shared" si="18"/>
        <v>24.433093361716146</v>
      </c>
    </row>
    <row r="112" spans="2:9">
      <c r="B112" s="188">
        <f t="shared" si="13"/>
        <v>150</v>
      </c>
      <c r="C112" s="25" t="s">
        <v>160</v>
      </c>
      <c r="D112" s="25"/>
      <c r="E112" s="25">
        <f t="shared" ref="E112:I112" si="19">E69-D69</f>
        <v>-90.460000000000036</v>
      </c>
      <c r="F112" s="25">
        <f t="shared" si="19"/>
        <v>29.450000000000045</v>
      </c>
      <c r="G112" s="25">
        <f t="shared" si="19"/>
        <v>14.88778842199099</v>
      </c>
      <c r="H112" s="25">
        <f t="shared" si="19"/>
        <v>25.471444710549576</v>
      </c>
      <c r="I112" s="25">
        <f t="shared" si="19"/>
        <v>26.108230828313481</v>
      </c>
    </row>
    <row r="113" spans="2:9">
      <c r="B113" s="188">
        <f t="shared" si="13"/>
        <v>175</v>
      </c>
      <c r="C113" s="25" t="s">
        <v>160</v>
      </c>
      <c r="D113" s="25"/>
      <c r="E113" s="25">
        <f t="shared" ref="E113:I113" si="20">E70-D70</f>
        <v>-87.307991300379172</v>
      </c>
      <c r="F113" s="25">
        <f t="shared" si="20"/>
        <v>31.826673916350728</v>
      </c>
      <c r="G113" s="25">
        <f t="shared" si="20"/>
        <v>14.227025847650566</v>
      </c>
      <c r="H113" s="25">
        <f t="shared" si="20"/>
        <v>27.188847115773342</v>
      </c>
      <c r="I113" s="25">
        <f t="shared" si="20"/>
        <v>27.868568293667749</v>
      </c>
    </row>
    <row r="114" spans="2:9">
      <c r="B114" s="188">
        <f t="shared" si="13"/>
        <v>200</v>
      </c>
      <c r="C114" s="25" t="s">
        <v>160</v>
      </c>
      <c r="D114" s="25"/>
      <c r="E114" s="25">
        <f t="shared" ref="E114:I114" si="21">E71-D71</f>
        <v>-83.355898695220276</v>
      </c>
      <c r="F114" s="25">
        <f t="shared" si="21"/>
        <v>34.870084420649846</v>
      </c>
      <c r="G114" s="25">
        <f t="shared" si="21"/>
        <v>13.397935343128665</v>
      </c>
      <c r="H114" s="25">
        <f t="shared" si="21"/>
        <v>29.34375431225817</v>
      </c>
      <c r="I114" s="25">
        <f t="shared" si="21"/>
        <v>30.077348170065079</v>
      </c>
    </row>
    <row r="115" spans="2:9">
      <c r="B115" s="188">
        <f t="shared" si="13"/>
        <v>225</v>
      </c>
      <c r="C115" s="25" t="s">
        <v>160</v>
      </c>
      <c r="D115" s="25"/>
      <c r="E115" s="25">
        <f t="shared" ref="E115:I115" si="22">E72-D72</f>
        <v>-78.299159732476937</v>
      </c>
      <c r="F115" s="25">
        <f t="shared" si="22"/>
        <v>38.83403355626956</v>
      </c>
      <c r="G115" s="25">
        <f t="shared" si="22"/>
        <v>12.336440669909052</v>
      </c>
      <c r="H115" s="25">
        <f t="shared" si="22"/>
        <v>32.102708247775581</v>
      </c>
      <c r="I115" s="25">
        <f t="shared" si="22"/>
        <v>32.905275953970431</v>
      </c>
    </row>
    <row r="116" spans="2:9">
      <c r="B116" s="188">
        <f t="shared" si="13"/>
        <v>250</v>
      </c>
      <c r="C116" s="25" t="s">
        <v>160</v>
      </c>
      <c r="D116" s="25"/>
      <c r="E116" s="25">
        <f t="shared" ref="E116:I116" si="23">E73-D73</f>
        <v>-72.462400000000116</v>
      </c>
      <c r="F116" s="25">
        <f t="shared" si="23"/>
        <v>43.44800000000032</v>
      </c>
      <c r="G116" s="25">
        <f t="shared" si="23"/>
        <v>11.110839106451067</v>
      </c>
      <c r="H116" s="25">
        <f t="shared" si="23"/>
        <v>35.288195977661189</v>
      </c>
      <c r="I116" s="25">
        <f t="shared" si="23"/>
        <v>36.170400877102338</v>
      </c>
    </row>
    <row r="117" spans="2:9">
      <c r="B117" s="188">
        <f t="shared" si="13"/>
        <v>275</v>
      </c>
      <c r="C117" s="25" t="s">
        <v>160</v>
      </c>
      <c r="D117" s="25"/>
      <c r="E117" s="25">
        <f t="shared" ref="E117:I117" si="24">E74-D74</f>
        <v>-66.462400000000116</v>
      </c>
      <c r="F117" s="25">
        <f t="shared" si="24"/>
        <v>48.19800000000032</v>
      </c>
      <c r="G117" s="25">
        <f t="shared" si="24"/>
        <v>9.850893774590304</v>
      </c>
      <c r="H117" s="25">
        <f t="shared" si="24"/>
        <v>38.562947344364829</v>
      </c>
      <c r="I117" s="25">
        <f t="shared" si="24"/>
        <v>39.527021027973433</v>
      </c>
    </row>
    <row r="118" spans="2:9">
      <c r="B118" s="188">
        <f t="shared" si="13"/>
        <v>300</v>
      </c>
      <c r="C118" s="25" t="s">
        <v>160</v>
      </c>
      <c r="D118" s="25"/>
      <c r="E118" s="25">
        <f t="shared" ref="E118:I118" si="25">E75-D75</f>
        <v>-60.462400000000116</v>
      </c>
      <c r="F118" s="25">
        <f t="shared" si="25"/>
        <v>52.94800000000032</v>
      </c>
      <c r="G118" s="25">
        <f t="shared" si="25"/>
        <v>8.5909484427299958</v>
      </c>
      <c r="H118" s="25">
        <f t="shared" si="25"/>
        <v>41.837698711068015</v>
      </c>
      <c r="I118" s="25">
        <f t="shared" si="25"/>
        <v>42.883641178844528</v>
      </c>
    </row>
    <row r="119" spans="2:9">
      <c r="B119" s="188">
        <f t="shared" si="13"/>
        <v>325</v>
      </c>
      <c r="C119" s="25" t="s">
        <v>160</v>
      </c>
      <c r="D119" s="25"/>
      <c r="E119" s="25">
        <f t="shared" ref="E119:I119" si="26">E76-D76</f>
        <v>-54.462400000000116</v>
      </c>
      <c r="F119" s="25">
        <f t="shared" si="26"/>
        <v>57.69800000000032</v>
      </c>
      <c r="G119" s="25">
        <f t="shared" si="26"/>
        <v>7.3310031108692328</v>
      </c>
      <c r="H119" s="25">
        <f t="shared" si="26"/>
        <v>45.112450077771655</v>
      </c>
      <c r="I119" s="25">
        <f t="shared" si="26"/>
        <v>46.240261329715622</v>
      </c>
    </row>
    <row r="120" spans="2:9">
      <c r="B120" s="188">
        <f t="shared" si="13"/>
        <v>350</v>
      </c>
      <c r="C120" s="25" t="s">
        <v>160</v>
      </c>
      <c r="D120" s="25"/>
      <c r="E120" s="25">
        <f t="shared" ref="E120:I120" si="27">E77-D77</f>
        <v>-48.462400000000116</v>
      </c>
      <c r="F120" s="25">
        <f t="shared" si="27"/>
        <v>62.44800000000032</v>
      </c>
      <c r="G120" s="25">
        <f t="shared" si="27"/>
        <v>6.0710577790086973</v>
      </c>
      <c r="H120" s="25">
        <f t="shared" si="27"/>
        <v>48.387201444475295</v>
      </c>
      <c r="I120" s="25">
        <f t="shared" si="27"/>
        <v>49.596881480586489</v>
      </c>
    </row>
    <row r="121" spans="2:9">
      <c r="B121" s="188">
        <f t="shared" si="13"/>
        <v>375</v>
      </c>
      <c r="C121" s="25" t="s">
        <v>160</v>
      </c>
      <c r="D121" s="25"/>
      <c r="E121" s="25">
        <f t="shared" ref="E121:I121" si="28">E78-D78</f>
        <v>-42.462400000000116</v>
      </c>
      <c r="F121" s="25">
        <f t="shared" si="28"/>
        <v>67.198000000000548</v>
      </c>
      <c r="G121" s="25">
        <f t="shared" si="28"/>
        <v>4.8111124471479343</v>
      </c>
      <c r="H121" s="25">
        <f t="shared" si="28"/>
        <v>51.661952811178708</v>
      </c>
      <c r="I121" s="25">
        <f t="shared" si="28"/>
        <v>52.953501631457584</v>
      </c>
    </row>
    <row r="122" spans="2:9">
      <c r="B122" s="188">
        <f t="shared" si="13"/>
        <v>400</v>
      </c>
      <c r="C122" s="25" t="s">
        <v>160</v>
      </c>
      <c r="D122" s="25"/>
      <c r="E122" s="25">
        <f t="shared" ref="E122:I122" si="29">E79-D79</f>
        <v>-36.462400000000343</v>
      </c>
      <c r="F122" s="25">
        <f t="shared" si="29"/>
        <v>71.94800000000032</v>
      </c>
      <c r="G122" s="25">
        <f t="shared" si="29"/>
        <v>3.5511671152871713</v>
      </c>
      <c r="H122" s="25">
        <f t="shared" si="29"/>
        <v>54.936704177882348</v>
      </c>
      <c r="I122" s="25">
        <f t="shared" si="29"/>
        <v>56.310121782328679</v>
      </c>
    </row>
    <row r="123" spans="2:9">
      <c r="B123" s="188">
        <f t="shared" si="13"/>
        <v>425</v>
      </c>
      <c r="C123" s="25" t="s">
        <v>160</v>
      </c>
      <c r="D123" s="25"/>
      <c r="E123" s="25">
        <f t="shared" ref="E123:I123" si="30">E80-D80</f>
        <v>-30.462400000000343</v>
      </c>
      <c r="F123" s="25">
        <f t="shared" si="30"/>
        <v>76.69800000000032</v>
      </c>
      <c r="G123" s="25">
        <f t="shared" si="30"/>
        <v>2.2912217834268631</v>
      </c>
      <c r="H123" s="25">
        <f t="shared" si="30"/>
        <v>58.211455544585533</v>
      </c>
      <c r="I123" s="25">
        <f t="shared" si="30"/>
        <v>59.666741933199773</v>
      </c>
    </row>
    <row r="124" spans="2:9">
      <c r="B124" s="188">
        <f t="shared" si="13"/>
        <v>450</v>
      </c>
      <c r="C124" s="25" t="s">
        <v>160</v>
      </c>
      <c r="D124" s="25"/>
      <c r="E124" s="25">
        <f t="shared" ref="E124:I124" si="31">E81-D81</f>
        <v>-24.462400000000343</v>
      </c>
      <c r="F124" s="25">
        <f t="shared" si="31"/>
        <v>81.44800000000032</v>
      </c>
      <c r="G124" s="25">
        <f t="shared" si="31"/>
        <v>1.0312764515665549</v>
      </c>
      <c r="H124" s="25">
        <f t="shared" si="31"/>
        <v>61.486206911288718</v>
      </c>
      <c r="I124" s="25">
        <f t="shared" si="31"/>
        <v>63.023362084070868</v>
      </c>
    </row>
    <row r="125" spans="2:9">
      <c r="B125" s="188">
        <f t="shared" si="13"/>
        <v>475</v>
      </c>
      <c r="C125" s="25" t="s">
        <v>160</v>
      </c>
      <c r="D125" s="25"/>
      <c r="E125" s="25">
        <f t="shared" ref="E125:I125" si="32">E82-D82</f>
        <v>-18.462400000000343</v>
      </c>
      <c r="F125" s="25">
        <f t="shared" si="32"/>
        <v>86.19800000000032</v>
      </c>
      <c r="G125" s="25">
        <f t="shared" si="32"/>
        <v>-0.22866888029420807</v>
      </c>
      <c r="H125" s="25">
        <f t="shared" si="32"/>
        <v>64.760958277992358</v>
      </c>
      <c r="I125" s="25">
        <f t="shared" si="32"/>
        <v>66.379982234941963</v>
      </c>
    </row>
    <row r="126" spans="2:9">
      <c r="B126" s="188">
        <f t="shared" si="13"/>
        <v>500</v>
      </c>
      <c r="C126" s="25" t="s">
        <v>160</v>
      </c>
      <c r="D126" s="25"/>
      <c r="E126" s="25">
        <f t="shared" ref="E126:I126" si="33">E83-D83</f>
        <v>-12.462400000000343</v>
      </c>
      <c r="F126" s="25">
        <f t="shared" si="33"/>
        <v>90.94800000000032</v>
      </c>
      <c r="G126" s="25">
        <f t="shared" si="33"/>
        <v>-1.488614212154971</v>
      </c>
      <c r="H126" s="25">
        <f t="shared" si="33"/>
        <v>68.035709644695999</v>
      </c>
      <c r="I126" s="25">
        <f t="shared" si="33"/>
        <v>69.736602385813057</v>
      </c>
    </row>
    <row r="127" spans="2:9">
      <c r="B127" s="188">
        <f t="shared" si="13"/>
        <v>525</v>
      </c>
      <c r="C127" s="25" t="s">
        <v>160</v>
      </c>
      <c r="D127" s="25"/>
      <c r="E127" s="25">
        <f t="shared" ref="E127:I127" si="34">E84-D84</f>
        <v>-6.4624000000003434</v>
      </c>
      <c r="F127" s="25">
        <f t="shared" si="34"/>
        <v>95.69800000000032</v>
      </c>
      <c r="G127" s="25">
        <f t="shared" si="34"/>
        <v>-2.7485595440152792</v>
      </c>
      <c r="H127" s="25">
        <f t="shared" si="34"/>
        <v>71.310461011399184</v>
      </c>
      <c r="I127" s="25">
        <f t="shared" si="34"/>
        <v>73.093222536684607</v>
      </c>
    </row>
    <row r="128" spans="2:9">
      <c r="B128" s="188">
        <f t="shared" si="13"/>
        <v>550</v>
      </c>
      <c r="C128" s="25" t="s">
        <v>160</v>
      </c>
      <c r="D128" s="25"/>
      <c r="E128" s="25">
        <f t="shared" ref="E128:I128" si="35">E85-D85</f>
        <v>-0.46240000000034343</v>
      </c>
      <c r="F128" s="25">
        <f t="shared" si="35"/>
        <v>100.44800000000032</v>
      </c>
      <c r="G128" s="25">
        <f t="shared" si="35"/>
        <v>-4.0085048758755875</v>
      </c>
      <c r="H128" s="25">
        <f t="shared" si="35"/>
        <v>74.585212378102824</v>
      </c>
      <c r="I128" s="25">
        <f t="shared" si="35"/>
        <v>76.449842687555247</v>
      </c>
    </row>
    <row r="129" spans="2:9">
      <c r="B129" s="188">
        <f t="shared" si="13"/>
        <v>575</v>
      </c>
      <c r="C129" s="25" t="s">
        <v>160</v>
      </c>
      <c r="D129" s="25"/>
      <c r="E129" s="25">
        <f t="shared" ref="E129:I129" si="36">E86-D86</f>
        <v>5.5375999999996566</v>
      </c>
      <c r="F129" s="25">
        <f t="shared" si="36"/>
        <v>105.19800000000032</v>
      </c>
      <c r="G129" s="25">
        <f t="shared" si="36"/>
        <v>-5.2684502077363504</v>
      </c>
      <c r="H129" s="25">
        <f t="shared" si="36"/>
        <v>77.859963744806464</v>
      </c>
      <c r="I129" s="25">
        <f t="shared" si="36"/>
        <v>79.806462838426341</v>
      </c>
    </row>
    <row r="130" spans="2:9">
      <c r="B130" s="188">
        <f t="shared" si="13"/>
        <v>600</v>
      </c>
      <c r="C130" s="25" t="s">
        <v>160</v>
      </c>
      <c r="D130" s="25"/>
      <c r="E130" s="25">
        <f t="shared" ref="E130:I130" si="37">E87-D87</f>
        <v>11.537599999999657</v>
      </c>
      <c r="F130" s="25">
        <f t="shared" si="37"/>
        <v>109.94800000000032</v>
      </c>
      <c r="G130" s="25">
        <f t="shared" si="37"/>
        <v>-6.5283955395971134</v>
      </c>
      <c r="H130" s="25">
        <f t="shared" si="37"/>
        <v>81.134715111510559</v>
      </c>
      <c r="I130" s="25">
        <f t="shared" si="37"/>
        <v>83.163082989296981</v>
      </c>
    </row>
    <row r="131" spans="2:9">
      <c r="B131" s="188">
        <f t="shared" si="13"/>
        <v>625</v>
      </c>
      <c r="C131" s="25" t="s">
        <v>160</v>
      </c>
      <c r="D131" s="25"/>
      <c r="E131" s="25">
        <f t="shared" ref="E131:I131" si="38">E88-D88</f>
        <v>17.537599999999657</v>
      </c>
      <c r="F131" s="25">
        <f t="shared" si="38"/>
        <v>114.69800000000032</v>
      </c>
      <c r="G131" s="25">
        <f t="shared" si="38"/>
        <v>-7.7883408714574216</v>
      </c>
      <c r="H131" s="25">
        <f t="shared" si="38"/>
        <v>84.409466478213744</v>
      </c>
      <c r="I131" s="25">
        <f t="shared" si="38"/>
        <v>86.519703140168076</v>
      </c>
    </row>
    <row r="132" spans="2:9">
      <c r="B132" s="188">
        <f t="shared" si="13"/>
        <v>650</v>
      </c>
      <c r="C132" s="25" t="s">
        <v>160</v>
      </c>
      <c r="D132" s="25"/>
      <c r="E132" s="25">
        <f t="shared" ref="E132:I132" si="39">E89-D89</f>
        <v>23.537599999999657</v>
      </c>
      <c r="F132" s="25">
        <f t="shared" si="39"/>
        <v>119.44800000000032</v>
      </c>
      <c r="G132" s="25">
        <f t="shared" si="39"/>
        <v>-9.0482862033181846</v>
      </c>
      <c r="H132" s="25">
        <f t="shared" si="39"/>
        <v>87.684217844917384</v>
      </c>
      <c r="I132" s="25">
        <f t="shared" si="39"/>
        <v>89.876323291039171</v>
      </c>
    </row>
    <row r="133" spans="2:9">
      <c r="B133" s="188">
        <f t="shared" si="13"/>
        <v>675</v>
      </c>
      <c r="C133" s="25" t="s">
        <v>160</v>
      </c>
      <c r="D133" s="25"/>
      <c r="E133" s="25">
        <f t="shared" ref="E133:I133" si="40">E90-D90</f>
        <v>29.537599999999657</v>
      </c>
      <c r="F133" s="25">
        <f t="shared" si="40"/>
        <v>124.19800000000032</v>
      </c>
      <c r="G133" s="25">
        <f t="shared" si="40"/>
        <v>-10.308231535178493</v>
      </c>
      <c r="H133" s="25">
        <f t="shared" si="40"/>
        <v>90.95896921162057</v>
      </c>
      <c r="I133" s="25">
        <f t="shared" si="40"/>
        <v>93.232943441910265</v>
      </c>
    </row>
    <row r="134" spans="2:9">
      <c r="B134" s="188">
        <f t="shared" si="13"/>
        <v>700</v>
      </c>
      <c r="C134" s="25" t="s">
        <v>160</v>
      </c>
      <c r="D134" s="25"/>
      <c r="E134" s="25">
        <f t="shared" ref="E134:I134" si="41">E91-D91</f>
        <v>35.537599999999657</v>
      </c>
      <c r="F134" s="25">
        <f t="shared" si="41"/>
        <v>128.94800000000032</v>
      </c>
      <c r="G134" s="25">
        <f t="shared" si="41"/>
        <v>-11.568176867039256</v>
      </c>
      <c r="H134" s="25">
        <f t="shared" si="41"/>
        <v>94.23372057832421</v>
      </c>
      <c r="I134" s="25">
        <f t="shared" si="41"/>
        <v>96.58956359278136</v>
      </c>
    </row>
    <row r="135" spans="2:9">
      <c r="B135" s="188">
        <f t="shared" si="13"/>
        <v>725</v>
      </c>
      <c r="C135" s="25" t="s">
        <v>160</v>
      </c>
      <c r="D135" s="25"/>
      <c r="E135" s="25">
        <f t="shared" ref="E135:I135" si="42">E92-D92</f>
        <v>41.537599999999202</v>
      </c>
      <c r="F135" s="25">
        <f t="shared" si="42"/>
        <v>133.69800000000077</v>
      </c>
      <c r="G135" s="25">
        <f t="shared" si="42"/>
        <v>-12.828122198899564</v>
      </c>
      <c r="H135" s="25">
        <f t="shared" si="42"/>
        <v>97.508471945027395</v>
      </c>
      <c r="I135" s="25">
        <f t="shared" si="42"/>
        <v>99.946183743652909</v>
      </c>
    </row>
    <row r="136" spans="2:9">
      <c r="B136" s="188">
        <f t="shared" si="13"/>
        <v>750</v>
      </c>
      <c r="C136" s="25" t="s">
        <v>160</v>
      </c>
      <c r="D136" s="25"/>
      <c r="E136" s="25">
        <f t="shared" ref="E136:I136" si="43">E93-D93</f>
        <v>47.537599999999202</v>
      </c>
      <c r="F136" s="25">
        <f t="shared" si="43"/>
        <v>138.44800000000077</v>
      </c>
      <c r="G136" s="25">
        <f t="shared" si="43"/>
        <v>-14.088067530760327</v>
      </c>
      <c r="H136" s="25">
        <f t="shared" si="43"/>
        <v>100.78322331173104</v>
      </c>
      <c r="I136" s="25">
        <f t="shared" si="43"/>
        <v>103.30280389452309</v>
      </c>
    </row>
    <row r="137" spans="2:9">
      <c r="B137" s="188">
        <f t="shared" si="13"/>
        <v>775</v>
      </c>
      <c r="C137" s="25" t="s">
        <v>160</v>
      </c>
      <c r="D137" s="25"/>
      <c r="E137" s="25">
        <f t="shared" ref="E137:I137" si="44">E94-D94</f>
        <v>53.537599999999202</v>
      </c>
      <c r="F137" s="25">
        <f t="shared" si="44"/>
        <v>143.19800000000077</v>
      </c>
      <c r="G137" s="25">
        <f t="shared" si="44"/>
        <v>-15.348012862620635</v>
      </c>
      <c r="H137" s="25">
        <f t="shared" si="44"/>
        <v>104.05797467843422</v>
      </c>
      <c r="I137" s="25">
        <f t="shared" si="44"/>
        <v>106.6594240453951</v>
      </c>
    </row>
    <row r="138" spans="2:9">
      <c r="B138" s="188">
        <f t="shared" si="13"/>
        <v>800</v>
      </c>
      <c r="C138" s="25" t="s">
        <v>160</v>
      </c>
      <c r="D138" s="25"/>
      <c r="E138" s="25">
        <f t="shared" ref="E138:I138" si="45">E95-D95</f>
        <v>59.537599999998747</v>
      </c>
      <c r="F138" s="25">
        <f t="shared" si="45"/>
        <v>147.94800000000123</v>
      </c>
      <c r="G138" s="25">
        <f t="shared" si="45"/>
        <v>-16.607958194481398</v>
      </c>
      <c r="H138" s="25">
        <f t="shared" si="45"/>
        <v>107.33272604513786</v>
      </c>
      <c r="I138" s="25">
        <f t="shared" si="45"/>
        <v>110.01604419626528</v>
      </c>
    </row>
    <row r="139" spans="2:9">
      <c r="B139" s="188">
        <f t="shared" si="13"/>
        <v>825</v>
      </c>
      <c r="C139" s="25" t="s">
        <v>160</v>
      </c>
      <c r="D139" s="25"/>
      <c r="E139" s="25">
        <f t="shared" ref="E139:I139" si="46">E96-D96</f>
        <v>65.537599999998747</v>
      </c>
      <c r="F139" s="25">
        <f t="shared" si="46"/>
        <v>152.69800000000123</v>
      </c>
      <c r="G139" s="25">
        <f t="shared" si="46"/>
        <v>-17.867903526342161</v>
      </c>
      <c r="H139" s="25">
        <f t="shared" si="46"/>
        <v>110.6074774118415</v>
      </c>
      <c r="I139" s="25">
        <f t="shared" si="46"/>
        <v>113.37266434713729</v>
      </c>
    </row>
    <row r="140" spans="2:9">
      <c r="B140" s="188">
        <f t="shared" si="13"/>
        <v>850</v>
      </c>
      <c r="C140" s="25" t="s">
        <v>160</v>
      </c>
      <c r="D140" s="25"/>
      <c r="E140" s="25">
        <f t="shared" ref="E140:I140" si="47">E97-D97</f>
        <v>71.537599999998747</v>
      </c>
      <c r="F140" s="25">
        <f t="shared" si="47"/>
        <v>157.44800000000123</v>
      </c>
      <c r="G140" s="25">
        <f t="shared" si="47"/>
        <v>-19.127848858202015</v>
      </c>
      <c r="H140" s="25">
        <f t="shared" si="47"/>
        <v>113.88222877854423</v>
      </c>
      <c r="I140" s="25">
        <f t="shared" si="47"/>
        <v>116.72928449800747</v>
      </c>
    </row>
    <row r="141" spans="2:9">
      <c r="B141" s="188">
        <f t="shared" si="13"/>
        <v>875</v>
      </c>
      <c r="C141" s="25" t="s">
        <v>160</v>
      </c>
      <c r="D141" s="25"/>
      <c r="E141" s="25">
        <f t="shared" ref="E141:I141" si="48">E98-D98</f>
        <v>77.537599999998747</v>
      </c>
      <c r="F141" s="25">
        <f t="shared" si="48"/>
        <v>162.19800000000123</v>
      </c>
      <c r="G141" s="25">
        <f t="shared" si="48"/>
        <v>-20.387794190063687</v>
      </c>
      <c r="H141" s="25">
        <f t="shared" si="48"/>
        <v>117.15698014524878</v>
      </c>
      <c r="I141" s="25">
        <f t="shared" si="48"/>
        <v>120.08590464887948</v>
      </c>
    </row>
    <row r="142" spans="2:9">
      <c r="B142" s="188">
        <f t="shared" si="13"/>
        <v>900</v>
      </c>
      <c r="C142" s="25" t="s">
        <v>160</v>
      </c>
      <c r="D142" s="25"/>
      <c r="E142" s="25">
        <f t="shared" ref="E142:I142" si="49">E99-D99</f>
        <v>83.537599999998747</v>
      </c>
      <c r="F142" s="25">
        <f t="shared" si="49"/>
        <v>166.94800000000123</v>
      </c>
      <c r="G142" s="25">
        <f t="shared" si="49"/>
        <v>-21.64773952192354</v>
      </c>
      <c r="H142" s="25">
        <f t="shared" si="49"/>
        <v>120.43173151195151</v>
      </c>
      <c r="I142" s="25">
        <f t="shared" si="49"/>
        <v>123.44252479974966</v>
      </c>
    </row>
    <row r="143" spans="2:9">
      <c r="B143" s="188">
        <f t="shared" si="13"/>
        <v>1000</v>
      </c>
      <c r="C143" s="25" t="s">
        <v>160</v>
      </c>
      <c r="D143" s="25"/>
      <c r="E143" s="25">
        <f t="shared" ref="E143:I143" si="50">E100-D100</f>
        <v>107.53759999999875</v>
      </c>
      <c r="F143" s="25">
        <f t="shared" si="50"/>
        <v>185.94800000000032</v>
      </c>
      <c r="G143" s="25">
        <f t="shared" si="50"/>
        <v>-26.687520849364773</v>
      </c>
      <c r="H143" s="25">
        <f t="shared" si="50"/>
        <v>133.53073697876607</v>
      </c>
      <c r="I143" s="25">
        <f t="shared" si="50"/>
        <v>136.86900540323404</v>
      </c>
    </row>
    <row r="144" spans="2:9">
      <c r="B144" s="188">
        <f t="shared" si="13"/>
        <v>2000</v>
      </c>
      <c r="C144" s="25" t="s">
        <v>160</v>
      </c>
      <c r="D144" s="25"/>
      <c r="E144" s="25">
        <f t="shared" ref="E144:I144" si="51">E101-D101</f>
        <v>347.53759999999966</v>
      </c>
      <c r="F144" s="25">
        <f t="shared" si="51"/>
        <v>375.94800000000214</v>
      </c>
      <c r="G144" s="25">
        <f t="shared" si="51"/>
        <v>-77.085334123788925</v>
      </c>
      <c r="H144" s="25">
        <f t="shared" si="51"/>
        <v>264.5207916469044</v>
      </c>
      <c r="I144" s="25">
        <f t="shared" si="51"/>
        <v>271.13381143807601</v>
      </c>
    </row>
    <row r="145" spans="2:9">
      <c r="B145" s="188">
        <f t="shared" si="13"/>
        <v>5000</v>
      </c>
      <c r="C145" s="25" t="s">
        <v>160</v>
      </c>
      <c r="D145" s="25"/>
      <c r="E145" s="25">
        <f t="shared" ref="E145:I145" si="52">E102-D102</f>
        <v>1067.537599999996</v>
      </c>
      <c r="F145" s="25">
        <f t="shared" si="52"/>
        <v>945.94800000000032</v>
      </c>
      <c r="G145" s="25">
        <f t="shared" si="52"/>
        <v>-228.27877394705502</v>
      </c>
      <c r="H145" s="25">
        <f t="shared" si="52"/>
        <v>657.49095565131938</v>
      </c>
      <c r="I145" s="25">
        <f t="shared" si="52"/>
        <v>673.92822954260555</v>
      </c>
    </row>
    <row r="146" spans="2:9">
      <c r="B146" s="188">
        <f t="shared" si="13"/>
        <v>10000</v>
      </c>
      <c r="C146" s="25" t="s">
        <v>160</v>
      </c>
      <c r="D146" s="25"/>
      <c r="E146" s="25">
        <f t="shared" ref="E146:I146" si="53">E103-D103</f>
        <v>2267.537599999996</v>
      </c>
      <c r="F146" s="25">
        <f t="shared" si="53"/>
        <v>1895.9479999999967</v>
      </c>
      <c r="G146" s="25">
        <f t="shared" si="53"/>
        <v>-480.26784031916031</v>
      </c>
      <c r="H146" s="25">
        <f t="shared" si="53"/>
        <v>1312.4412289920147</v>
      </c>
      <c r="I146" s="25">
        <f t="shared" si="53"/>
        <v>1345.2522597168136</v>
      </c>
    </row>
    <row r="148" spans="2:9" ht="15.75">
      <c r="B148" s="10" t="s">
        <v>161</v>
      </c>
      <c r="C148" s="25"/>
      <c r="D148" s="25"/>
      <c r="E148" s="25"/>
      <c r="F148" s="25"/>
      <c r="G148" s="25"/>
      <c r="H148" s="25"/>
      <c r="I148" s="25"/>
    </row>
    <row r="149" spans="2:9">
      <c r="B149" s="188">
        <f>B106</f>
        <v>0</v>
      </c>
      <c r="C149" s="25" t="s">
        <v>104</v>
      </c>
      <c r="D149" s="25"/>
      <c r="E149" s="24">
        <f>E106/D63</f>
        <v>-0.15483668341708548</v>
      </c>
      <c r="F149" s="24">
        <f t="shared" ref="F149:I149" si="54">F106/E63</f>
        <v>2.6941657376440064E-2</v>
      </c>
      <c r="G149" s="24">
        <f t="shared" si="54"/>
        <v>3.0693092043923377E-2</v>
      </c>
      <c r="H149" s="24">
        <f t="shared" si="54"/>
        <v>2.4999999999999814E-2</v>
      </c>
      <c r="I149" s="24">
        <f t="shared" si="54"/>
        <v>2.4999999999999824E-2</v>
      </c>
    </row>
    <row r="150" spans="2:9">
      <c r="B150" s="188">
        <f t="shared" ref="B150:B189" si="55">B107</f>
        <v>25</v>
      </c>
      <c r="C150" s="25" t="s">
        <v>104</v>
      </c>
      <c r="D150" s="25"/>
      <c r="E150" s="24">
        <f t="shared" ref="E150:I150" si="56">E107/D64</f>
        <v>-0.13853894355188318</v>
      </c>
      <c r="F150" s="24">
        <f t="shared" si="56"/>
        <v>2.7753633133568243E-2</v>
      </c>
      <c r="G150" s="24">
        <f t="shared" si="56"/>
        <v>2.6754451056602756E-2</v>
      </c>
      <c r="H150" s="24">
        <f t="shared" si="56"/>
        <v>2.4999999999999838E-2</v>
      </c>
      <c r="I150" s="24">
        <f t="shared" si="56"/>
        <v>2.4999999999999911E-2</v>
      </c>
    </row>
    <row r="151" spans="2:9">
      <c r="B151" s="188">
        <f t="shared" si="55"/>
        <v>50</v>
      </c>
      <c r="C151" s="25" t="s">
        <v>104</v>
      </c>
      <c r="D151" s="25"/>
      <c r="E151" s="24">
        <f t="shared" ref="E151:I151" si="57">E108/D65</f>
        <v>-0.12465023479890026</v>
      </c>
      <c r="F151" s="24">
        <f t="shared" si="57"/>
        <v>2.8421725594841071E-2</v>
      </c>
      <c r="G151" s="24">
        <f t="shared" si="57"/>
        <v>2.3518406945272137E-2</v>
      </c>
      <c r="H151" s="24">
        <f t="shared" si="57"/>
        <v>2.4999999999999863E-2</v>
      </c>
      <c r="I151" s="24">
        <f t="shared" si="57"/>
        <v>2.4999999999999838E-2</v>
      </c>
    </row>
    <row r="152" spans="2:9">
      <c r="B152" s="188">
        <f t="shared" si="55"/>
        <v>75</v>
      </c>
      <c r="C152" s="25" t="s">
        <v>104</v>
      </c>
      <c r="D152" s="25"/>
      <c r="E152" s="24">
        <f t="shared" ref="E152:I152" si="58">E109/D66</f>
        <v>-0.11267318432589811</v>
      </c>
      <c r="F152" s="24">
        <f t="shared" si="58"/>
        <v>2.8981066554317217E-2</v>
      </c>
      <c r="G152" s="24">
        <f t="shared" si="58"/>
        <v>2.0812355045432815E-2</v>
      </c>
      <c r="H152" s="24">
        <f t="shared" si="58"/>
        <v>2.499999999999988E-2</v>
      </c>
      <c r="I152" s="24">
        <f t="shared" si="58"/>
        <v>2.4999999999999776E-2</v>
      </c>
    </row>
    <row r="153" spans="2:9">
      <c r="B153" s="188">
        <f t="shared" si="55"/>
        <v>100</v>
      </c>
      <c r="C153" s="25" t="s">
        <v>104</v>
      </c>
      <c r="D153" s="25"/>
      <c r="E153" s="24">
        <f t="shared" ref="E153:I153" si="59">E110/D67</f>
        <v>-0.10223852121931576</v>
      </c>
      <c r="F153" s="24">
        <f t="shared" si="59"/>
        <v>2.9456211187457258E-2</v>
      </c>
      <c r="G153" s="24">
        <f t="shared" si="59"/>
        <v>1.8515948948521238E-2</v>
      </c>
      <c r="H153" s="24">
        <f t="shared" si="59"/>
        <v>2.4999999999999762E-2</v>
      </c>
      <c r="I153" s="24">
        <f t="shared" si="59"/>
        <v>2.4999999999999849E-2</v>
      </c>
    </row>
    <row r="154" spans="2:9">
      <c r="B154" s="188">
        <f t="shared" si="55"/>
        <v>125</v>
      </c>
      <c r="C154" s="25" t="s">
        <v>104</v>
      </c>
      <c r="D154" s="25"/>
      <c r="E154" s="24">
        <f t="shared" ref="E154:I154" si="60">E111/D68</f>
        <v>-9.3066329426525832E-2</v>
      </c>
      <c r="F154" s="24">
        <f t="shared" si="60"/>
        <v>2.9864839641182785E-2</v>
      </c>
      <c r="G154" s="24">
        <f t="shared" si="60"/>
        <v>1.6542714813177956E-2</v>
      </c>
      <c r="H154" s="24">
        <f t="shared" si="60"/>
        <v>2.4999999999999786E-2</v>
      </c>
      <c r="I154" s="24">
        <f t="shared" si="60"/>
        <v>2.4999999999999911E-2</v>
      </c>
    </row>
    <row r="155" spans="2:9">
      <c r="B155" s="188">
        <f t="shared" si="55"/>
        <v>150</v>
      </c>
      <c r="C155" s="25" t="s">
        <v>104</v>
      </c>
      <c r="D155" s="25"/>
      <c r="E155" s="24">
        <f t="shared" ref="E155:I155" si="61">E112/D69</f>
        <v>-8.4940562264080116E-2</v>
      </c>
      <c r="F155" s="24">
        <f t="shared" si="61"/>
        <v>3.0220005746418796E-2</v>
      </c>
      <c r="G155" s="24">
        <f t="shared" si="61"/>
        <v>1.4828917619043388E-2</v>
      </c>
      <c r="H155" s="24">
        <f t="shared" si="61"/>
        <v>2.4999999999999804E-2</v>
      </c>
      <c r="I155" s="24">
        <f t="shared" si="61"/>
        <v>2.4999999999999967E-2</v>
      </c>
    </row>
    <row r="156" spans="2:9">
      <c r="B156" s="188">
        <f t="shared" si="55"/>
        <v>175</v>
      </c>
      <c r="C156" s="25" t="s">
        <v>104</v>
      </c>
      <c r="D156" s="25"/>
      <c r="E156" s="24">
        <f t="shared" ref="E156:I156" si="62">E113/D70</f>
        <v>-7.7345286066954858E-2</v>
      </c>
      <c r="F156" s="24">
        <f t="shared" si="62"/>
        <v>3.0558490894955267E-2</v>
      </c>
      <c r="G156" s="24">
        <f t="shared" si="62"/>
        <v>1.3255072982873163E-2</v>
      </c>
      <c r="H156" s="24">
        <f t="shared" si="62"/>
        <v>2.4999999999999738E-2</v>
      </c>
      <c r="I156" s="24">
        <f t="shared" si="62"/>
        <v>2.4999999999999811E-2</v>
      </c>
    </row>
    <row r="157" spans="2:9">
      <c r="B157" s="188">
        <f t="shared" si="55"/>
        <v>200</v>
      </c>
      <c r="C157" s="25" t="s">
        <v>104</v>
      </c>
      <c r="D157" s="25"/>
      <c r="E157" s="24">
        <f t="shared" ref="E157:I157" si="63">E114/D71</f>
        <v>-6.8955389514071083E-2</v>
      </c>
      <c r="F157" s="24">
        <f t="shared" si="63"/>
        <v>3.0982352173398998E-2</v>
      </c>
      <c r="G157" s="24">
        <f t="shared" si="63"/>
        <v>1.1546438154045454E-2</v>
      </c>
      <c r="H157" s="24">
        <f t="shared" si="63"/>
        <v>2.4999999999999526E-2</v>
      </c>
      <c r="I157" s="24">
        <f t="shared" si="63"/>
        <v>2.4999999999999915E-2</v>
      </c>
    </row>
    <row r="158" spans="2:9">
      <c r="B158" s="188">
        <f t="shared" si="55"/>
        <v>225</v>
      </c>
      <c r="C158" s="25" t="s">
        <v>104</v>
      </c>
      <c r="D158" s="25"/>
      <c r="E158" s="24">
        <f t="shared" ref="E158:I158" si="64">E115/D72</f>
        <v>-5.9713963846235493E-2</v>
      </c>
      <c r="F158" s="24">
        <f t="shared" si="64"/>
        <v>3.1497154035146593E-2</v>
      </c>
      <c r="G158" s="24">
        <f t="shared" si="64"/>
        <v>9.7001992057476529E-3</v>
      </c>
      <c r="H158" s="24">
        <f t="shared" si="64"/>
        <v>2.4999999999999589E-2</v>
      </c>
      <c r="I158" s="24">
        <f t="shared" si="64"/>
        <v>2.4999999999999949E-2</v>
      </c>
    </row>
    <row r="159" spans="2:9">
      <c r="B159" s="188">
        <f t="shared" si="55"/>
        <v>250</v>
      </c>
      <c r="C159" s="25" t="s">
        <v>104</v>
      </c>
      <c r="D159" s="25"/>
      <c r="E159" s="24">
        <f t="shared" ref="E159:I159" si="65">E116/D73</f>
        <v>-5.0693163729298323E-2</v>
      </c>
      <c r="F159" s="24">
        <f t="shared" si="65"/>
        <v>3.2018417517275875E-2</v>
      </c>
      <c r="G159" s="24">
        <f t="shared" si="65"/>
        <v>7.9339504636483753E-3</v>
      </c>
      <c r="H159" s="24">
        <f t="shared" si="65"/>
        <v>2.4999999999999935E-2</v>
      </c>
      <c r="I159" s="24">
        <f t="shared" si="65"/>
        <v>2.4999999999999675E-2</v>
      </c>
    </row>
    <row r="160" spans="2:9">
      <c r="B160" s="188">
        <f t="shared" si="55"/>
        <v>275</v>
      </c>
      <c r="C160" s="25" t="s">
        <v>104</v>
      </c>
      <c r="D160" s="25"/>
      <c r="E160" s="24">
        <f t="shared" ref="E160:I160" si="66">E117/D74</f>
        <v>-4.2853217105540659E-2</v>
      </c>
      <c r="F160" s="24">
        <f t="shared" si="66"/>
        <v>3.2468175489013464E-2</v>
      </c>
      <c r="G160" s="24">
        <f t="shared" si="66"/>
        <v>6.4272890161987586E-3</v>
      </c>
      <c r="H160" s="24">
        <f t="shared" si="66"/>
        <v>2.5000000000000043E-2</v>
      </c>
      <c r="I160" s="24">
        <f t="shared" si="66"/>
        <v>2.4999999999999717E-2</v>
      </c>
    </row>
    <row r="161" spans="2:9">
      <c r="B161" s="188">
        <f t="shared" si="55"/>
        <v>300</v>
      </c>
      <c r="C161" s="25" t="s">
        <v>104</v>
      </c>
      <c r="D161" s="25"/>
      <c r="E161" s="24">
        <f t="shared" ref="E161:I161" si="67">E118/D75</f>
        <v>-3.615239465128442E-2</v>
      </c>
      <c r="F161" s="24">
        <f t="shared" si="67"/>
        <v>3.284678551510626E-2</v>
      </c>
      <c r="G161" s="24">
        <f t="shared" si="67"/>
        <v>5.159986018960702E-3</v>
      </c>
      <c r="H161" s="24">
        <f t="shared" si="67"/>
        <v>2.4999999999999856E-2</v>
      </c>
      <c r="I161" s="24">
        <f t="shared" si="67"/>
        <v>2.4999999999999752E-2</v>
      </c>
    </row>
    <row r="162" spans="2:9">
      <c r="B162" s="188">
        <f t="shared" si="55"/>
        <v>325</v>
      </c>
      <c r="C162" s="25" t="s">
        <v>104</v>
      </c>
      <c r="D162" s="25"/>
      <c r="E162" s="24">
        <f t="shared" ref="E162:I162" si="68">E119/D76</f>
        <v>-3.0359243391358287E-2</v>
      </c>
      <c r="F162" s="24">
        <f t="shared" si="68"/>
        <v>3.3169892651148322E-2</v>
      </c>
      <c r="G162" s="24">
        <f t="shared" si="68"/>
        <v>4.0791997131425358E-3</v>
      </c>
      <c r="H162" s="24">
        <f t="shared" si="68"/>
        <v>2.4999999999999956E-2</v>
      </c>
      <c r="I162" s="24">
        <f t="shared" si="68"/>
        <v>2.4999999999999783E-2</v>
      </c>
    </row>
    <row r="163" spans="2:9">
      <c r="B163" s="188">
        <f t="shared" si="55"/>
        <v>350</v>
      </c>
      <c r="C163" s="25" t="s">
        <v>104</v>
      </c>
      <c r="D163" s="25"/>
      <c r="E163" s="24">
        <f t="shared" ref="E163:I163" si="69">E120/D77</f>
        <v>-2.5301036622872589E-2</v>
      </c>
      <c r="F163" s="24">
        <f t="shared" si="69"/>
        <v>3.3448868192241181E-2</v>
      </c>
      <c r="G163" s="24">
        <f t="shared" si="69"/>
        <v>3.1465762865200714E-3</v>
      </c>
      <c r="H163" s="24">
        <f t="shared" si="69"/>
        <v>2.500000000000004E-2</v>
      </c>
      <c r="I163" s="24">
        <f t="shared" si="69"/>
        <v>2.4999999999999689E-2</v>
      </c>
    </row>
    <row r="164" spans="2:9">
      <c r="B164" s="188">
        <f t="shared" si="55"/>
        <v>375</v>
      </c>
      <c r="C164" s="25" t="s">
        <v>104</v>
      </c>
      <c r="D164" s="25"/>
      <c r="E164" s="24">
        <f t="shared" ref="E164:I164" si="70">E121/D78</f>
        <v>-2.0846259230919664E-2</v>
      </c>
      <c r="F164" s="24">
        <f t="shared" si="70"/>
        <v>3.3692175711931623E-2</v>
      </c>
      <c r="G164" s="24">
        <f t="shared" si="70"/>
        <v>2.3336030732159624E-3</v>
      </c>
      <c r="H164" s="24">
        <f t="shared" si="70"/>
        <v>2.5000000000000001E-2</v>
      </c>
      <c r="I164" s="24">
        <f t="shared" si="70"/>
        <v>2.499999999999972E-2</v>
      </c>
    </row>
    <row r="165" spans="2:9">
      <c r="B165" s="188">
        <f t="shared" si="55"/>
        <v>400</v>
      </c>
      <c r="C165" s="25" t="s">
        <v>104</v>
      </c>
      <c r="D165" s="25"/>
      <c r="E165" s="24">
        <f t="shared" ref="E165:I165" si="71">E122/D79</f>
        <v>-1.6893008506084713E-2</v>
      </c>
      <c r="F165" s="24">
        <f t="shared" si="71"/>
        <v>3.3906244624685999E-2</v>
      </c>
      <c r="G165" s="24">
        <f t="shared" si="71"/>
        <v>1.6186424168677168E-3</v>
      </c>
      <c r="H165" s="24">
        <f t="shared" si="71"/>
        <v>2.5000000000000071E-2</v>
      </c>
      <c r="I165" s="24">
        <f t="shared" si="71"/>
        <v>2.4999999999999748E-2</v>
      </c>
    </row>
    <row r="166" spans="2:9">
      <c r="B166" s="188">
        <f t="shared" si="55"/>
        <v>425</v>
      </c>
      <c r="C166" s="25" t="s">
        <v>104</v>
      </c>
      <c r="D166" s="25"/>
      <c r="E166" s="24">
        <f t="shared" ref="E166:I166" si="72">E123/D80</f>
        <v>-1.3361103759525544E-2</v>
      </c>
      <c r="F166" s="24">
        <f t="shared" si="72"/>
        <v>3.4096046667013553E-2</v>
      </c>
      <c r="G166" s="24">
        <f t="shared" si="72"/>
        <v>9.8497733972963369E-4</v>
      </c>
      <c r="H166" s="24">
        <f t="shared" si="72"/>
        <v>2.4999999999999935E-2</v>
      </c>
      <c r="I166" s="24">
        <f t="shared" si="72"/>
        <v>2.4999999999999772E-2</v>
      </c>
    </row>
    <row r="167" spans="2:9">
      <c r="B167" s="188">
        <f t="shared" si="55"/>
        <v>450</v>
      </c>
      <c r="C167" s="25" t="s">
        <v>104</v>
      </c>
      <c r="D167" s="25"/>
      <c r="E167" s="24">
        <f t="shared" ref="E167:I167" si="73">E124/D81</f>
        <v>-1.0186591213890324E-2</v>
      </c>
      <c r="F167" s="24">
        <f t="shared" si="73"/>
        <v>3.426548684480122E-2</v>
      </c>
      <c r="G167" s="24">
        <f t="shared" si="73"/>
        <v>4.1948800857078143E-4</v>
      </c>
      <c r="H167" s="24">
        <f t="shared" si="73"/>
        <v>2.4999999999999814E-2</v>
      </c>
      <c r="I167" s="24">
        <f t="shared" si="73"/>
        <v>2.4999999999999793E-2</v>
      </c>
    </row>
    <row r="168" spans="2:9">
      <c r="B168" s="188">
        <f t="shared" si="55"/>
        <v>475</v>
      </c>
      <c r="C168" s="25" t="s">
        <v>104</v>
      </c>
      <c r="D168" s="25"/>
      <c r="E168" s="24">
        <f t="shared" ref="E168:I168" si="74">E125/D82</f>
        <v>-7.3178367037646528E-3</v>
      </c>
      <c r="F168" s="24">
        <f t="shared" si="74"/>
        <v>3.4417674964234063E-2</v>
      </c>
      <c r="G168" s="24">
        <f t="shared" si="74"/>
        <v>-8.8266411813717484E-5</v>
      </c>
      <c r="H168" s="24">
        <f t="shared" si="74"/>
        <v>2.4999999999999887E-2</v>
      </c>
      <c r="I168" s="24">
        <f t="shared" si="74"/>
        <v>2.4999999999999811E-2</v>
      </c>
    </row>
    <row r="169" spans="2:9">
      <c r="B169" s="188">
        <f t="shared" si="55"/>
        <v>500</v>
      </c>
      <c r="C169" s="25" t="s">
        <v>104</v>
      </c>
      <c r="D169" s="25"/>
      <c r="E169" s="24">
        <f t="shared" ref="E169:I169" si="75">E126/D83</f>
        <v>-4.7126955155654031E-3</v>
      </c>
      <c r="F169" s="24">
        <f t="shared" si="75"/>
        <v>3.4555118240374535E-2</v>
      </c>
      <c r="G169" s="24">
        <f t="shared" si="75"/>
        <v>-5.4669834304716996E-4</v>
      </c>
      <c r="H169" s="24">
        <f t="shared" si="75"/>
        <v>2.4999999999999949E-2</v>
      </c>
      <c r="I169" s="24">
        <f t="shared" si="75"/>
        <v>2.4999999999999828E-2</v>
      </c>
    </row>
    <row r="170" spans="2:9">
      <c r="B170" s="188">
        <f t="shared" si="55"/>
        <v>525</v>
      </c>
      <c r="C170" s="25" t="s">
        <v>104</v>
      </c>
      <c r="D170" s="25"/>
      <c r="E170" s="24">
        <f t="shared" ref="E170:I170" si="76">E127/D84</f>
        <v>-2.3364281558104958E-3</v>
      </c>
      <c r="F170" s="24">
        <f t="shared" si="76"/>
        <v>3.467986050939522E-2</v>
      </c>
      <c r="G170" s="24">
        <f t="shared" si="76"/>
        <v>-9.6266156901339886E-4</v>
      </c>
      <c r="H170" s="24">
        <f t="shared" si="76"/>
        <v>2.4999999999999845E-2</v>
      </c>
      <c r="I170" s="24">
        <f t="shared" si="76"/>
        <v>2.5000000000000001E-2</v>
      </c>
    </row>
    <row r="171" spans="2:9">
      <c r="B171" s="188">
        <f t="shared" si="55"/>
        <v>550</v>
      </c>
      <c r="C171" s="25" t="s">
        <v>104</v>
      </c>
      <c r="D171" s="25"/>
      <c r="E171" s="24">
        <f t="shared" ref="E171:I171" si="77">E128/D85</f>
        <v>-1.6014233273224892E-4</v>
      </c>
      <c r="F171" s="24">
        <f t="shared" si="77"/>
        <v>3.4793584551825921E-2</v>
      </c>
      <c r="G171" s="24">
        <f t="shared" si="77"/>
        <v>-1.3417962326235631E-3</v>
      </c>
      <c r="H171" s="24">
        <f t="shared" si="77"/>
        <v>2.4999999999999901E-2</v>
      </c>
      <c r="I171" s="24">
        <f t="shared" si="77"/>
        <v>2.4999999999999856E-2</v>
      </c>
    </row>
    <row r="172" spans="2:9">
      <c r="B172" s="188">
        <f t="shared" si="55"/>
        <v>575</v>
      </c>
      <c r="C172" s="25" t="s">
        <v>104</v>
      </c>
      <c r="D172" s="25"/>
      <c r="E172" s="24">
        <f t="shared" ref="E172:I172" si="78">E129/D86</f>
        <v>1.84038758743375E-3</v>
      </c>
      <c r="F172" s="24">
        <f t="shared" si="78"/>
        <v>3.4897688448612449E-2</v>
      </c>
      <c r="G172" s="24">
        <f t="shared" si="78"/>
        <v>-1.6887860812504507E-3</v>
      </c>
      <c r="H172" s="24">
        <f t="shared" si="78"/>
        <v>2.4999999999999956E-2</v>
      </c>
      <c r="I172" s="24">
        <f t="shared" si="78"/>
        <v>2.499999999999987E-2</v>
      </c>
    </row>
    <row r="173" spans="2:9">
      <c r="B173" s="188">
        <f t="shared" si="55"/>
        <v>600</v>
      </c>
      <c r="C173" s="25" t="s">
        <v>104</v>
      </c>
      <c r="D173" s="25"/>
      <c r="E173" s="24">
        <f t="shared" ref="E173:I173" si="79">E130/D87</f>
        <v>3.6856262047459832E-3</v>
      </c>
      <c r="F173" s="24">
        <f t="shared" si="79"/>
        <v>3.4993343346162969E-2</v>
      </c>
      <c r="G173" s="24">
        <f t="shared" si="79"/>
        <v>-2.0075529417254846E-3</v>
      </c>
      <c r="H173" s="24">
        <f t="shared" si="79"/>
        <v>2.5000000000000147E-2</v>
      </c>
      <c r="I173" s="24">
        <f t="shared" si="79"/>
        <v>2.4999999999999741E-2</v>
      </c>
    </row>
    <row r="174" spans="2:9">
      <c r="B174" s="188">
        <f t="shared" si="55"/>
        <v>625</v>
      </c>
      <c r="C174" s="25" t="s">
        <v>104</v>
      </c>
      <c r="D174" s="25"/>
      <c r="E174" s="24">
        <f t="shared" ref="E174:I174" si="80">E131/D88</f>
        <v>5.3929796920069266E-3</v>
      </c>
      <c r="F174" s="24">
        <f t="shared" si="80"/>
        <v>3.5081537705358365E-2</v>
      </c>
      <c r="G174" s="24">
        <f t="shared" si="80"/>
        <v>-2.3014055959583025E-3</v>
      </c>
      <c r="H174" s="24">
        <f t="shared" si="80"/>
        <v>2.500000000000005E-2</v>
      </c>
      <c r="I174" s="24">
        <f t="shared" si="80"/>
        <v>2.4999999999999759E-2</v>
      </c>
    </row>
    <row r="175" spans="2:9">
      <c r="B175" s="188">
        <f t="shared" si="55"/>
        <v>650</v>
      </c>
      <c r="C175" s="25" t="s">
        <v>104</v>
      </c>
      <c r="D175" s="25"/>
      <c r="E175" s="24">
        <f t="shared" ref="E175:I175" si="81">E132/D89</f>
        <v>6.977346567652051E-3</v>
      </c>
      <c r="F175" s="24">
        <f t="shared" si="81"/>
        <v>3.5163111585651892E-2</v>
      </c>
      <c r="G175" s="24">
        <f t="shared" si="81"/>
        <v>-2.5731550619048265E-3</v>
      </c>
      <c r="H175" s="24">
        <f t="shared" si="81"/>
        <v>2.5000000000000095E-2</v>
      </c>
      <c r="I175" s="24">
        <f t="shared" si="81"/>
        <v>2.4999999999999772E-2</v>
      </c>
    </row>
    <row r="176" spans="2:9">
      <c r="B176" s="188">
        <f t="shared" si="55"/>
        <v>675</v>
      </c>
      <c r="C176" s="25" t="s">
        <v>104</v>
      </c>
      <c r="D176" s="25"/>
      <c r="E176" s="24">
        <f t="shared" ref="E176:I176" si="82">E133/D90</f>
        <v>8.4515535841417806E-3</v>
      </c>
      <c r="F176" s="24">
        <f t="shared" si="82"/>
        <v>3.5238783487668728E-2</v>
      </c>
      <c r="G176" s="24">
        <f t="shared" si="82"/>
        <v>-2.8252048036114261E-3</v>
      </c>
      <c r="H176" s="24">
        <f t="shared" si="82"/>
        <v>2.5000000000000005E-2</v>
      </c>
      <c r="I176" s="24">
        <f t="shared" si="82"/>
        <v>2.4999999999999786E-2</v>
      </c>
    </row>
    <row r="177" spans="2:9">
      <c r="B177" s="188">
        <f t="shared" si="55"/>
        <v>700</v>
      </c>
      <c r="C177" s="25" t="s">
        <v>104</v>
      </c>
      <c r="D177" s="25"/>
      <c r="E177" s="24">
        <f t="shared" ref="E177:I177" si="83">E134/D91</f>
        <v>9.8267037500005261E-3</v>
      </c>
      <c r="F177" s="24">
        <f t="shared" si="83"/>
        <v>3.5309171572924174E-2</v>
      </c>
      <c r="G177" s="24">
        <f t="shared" si="83"/>
        <v>-3.0596220089039918E-3</v>
      </c>
      <c r="H177" s="24">
        <f t="shared" si="83"/>
        <v>2.500000000000005E-2</v>
      </c>
      <c r="I177" s="24">
        <f t="shared" si="83"/>
        <v>2.49999999999998E-2</v>
      </c>
    </row>
    <row r="178" spans="2:9">
      <c r="B178" s="188">
        <f t="shared" si="55"/>
        <v>725</v>
      </c>
      <c r="C178" s="25" t="s">
        <v>104</v>
      </c>
      <c r="D178" s="25"/>
      <c r="E178" s="24">
        <f t="shared" ref="E178:I178" si="84">E135/D92</f>
        <v>1.1112456477933007E-2</v>
      </c>
      <c r="F178" s="24">
        <f t="shared" si="84"/>
        <v>3.5374810588471764E-2</v>
      </c>
      <c r="G178" s="24">
        <f t="shared" si="84"/>
        <v>-3.2781944136040099E-3</v>
      </c>
      <c r="H178" s="24">
        <f t="shared" si="84"/>
        <v>2.4999999999999967E-2</v>
      </c>
      <c r="I178" s="24">
        <f t="shared" si="84"/>
        <v>2.4999999999999925E-2</v>
      </c>
    </row>
    <row r="179" spans="2:9">
      <c r="B179" s="188">
        <f t="shared" si="55"/>
        <v>750</v>
      </c>
      <c r="C179" s="25" t="s">
        <v>104</v>
      </c>
      <c r="D179" s="25"/>
      <c r="E179" s="24">
        <f t="shared" ref="E179:I179" si="85">E136/D93</f>
        <v>1.2317254816343982E-2</v>
      </c>
      <c r="F179" s="24">
        <f t="shared" si="85"/>
        <v>3.5436165477637727E-2</v>
      </c>
      <c r="G179" s="24">
        <f t="shared" si="85"/>
        <v>-3.4824759797964771E-3</v>
      </c>
      <c r="H179" s="24">
        <f t="shared" si="85"/>
        <v>2.5000000000000008E-2</v>
      </c>
      <c r="I179" s="24">
        <f t="shared" si="85"/>
        <v>2.4999999999999713E-2</v>
      </c>
    </row>
    <row r="180" spans="2:9">
      <c r="B180" s="188">
        <f t="shared" si="55"/>
        <v>775</v>
      </c>
      <c r="C180" s="25" t="s">
        <v>104</v>
      </c>
      <c r="D180" s="25"/>
      <c r="E180" s="24">
        <f t="shared" ref="E180:I180" si="86">E137/D94</f>
        <v>1.3448511069544981E-2</v>
      </c>
      <c r="F180" s="24">
        <f t="shared" si="86"/>
        <v>3.5493642409943113E-2</v>
      </c>
      <c r="G180" s="24">
        <f t="shared" si="86"/>
        <v>-3.6738238980322351E-3</v>
      </c>
      <c r="H180" s="24">
        <f t="shared" si="86"/>
        <v>2.4999999999999935E-2</v>
      </c>
      <c r="I180" s="24">
        <f t="shared" si="86"/>
        <v>2.4999999999999942E-2</v>
      </c>
    </row>
    <row r="181" spans="2:9">
      <c r="B181" s="188">
        <f t="shared" si="55"/>
        <v>800</v>
      </c>
      <c r="C181" s="25" t="s">
        <v>104</v>
      </c>
      <c r="D181" s="25"/>
      <c r="E181" s="24">
        <f t="shared" ref="E181:I181" si="87">E138/D95</f>
        <v>1.4512759433344515E-2</v>
      </c>
      <c r="F181" s="24">
        <f t="shared" si="87"/>
        <v>3.5547597783645496E-2</v>
      </c>
      <c r="G181" s="24">
        <f t="shared" si="87"/>
        <v>-3.8534287770463785E-3</v>
      </c>
      <c r="H181" s="24">
        <f t="shared" si="87"/>
        <v>2.4999999999999974E-2</v>
      </c>
      <c r="I181" s="24">
        <f t="shared" si="87"/>
        <v>2.4999999999999741E-2</v>
      </c>
    </row>
    <row r="182" spans="2:9">
      <c r="B182" s="188">
        <f t="shared" si="55"/>
        <v>825</v>
      </c>
      <c r="C182" s="25" t="s">
        <v>104</v>
      </c>
      <c r="D182" s="25"/>
      <c r="E182" s="24">
        <f t="shared" ref="E182:I182" si="88">E139/D96</f>
        <v>1.5515782287562421E-2</v>
      </c>
      <c r="F182" s="24">
        <f t="shared" si="88"/>
        <v>3.5598345622733549E-2</v>
      </c>
      <c r="G182" s="24">
        <f t="shared" si="88"/>
        <v>-4.022339440714894E-3</v>
      </c>
      <c r="H182" s="24">
        <f t="shared" si="88"/>
        <v>2.5000000000000012E-2</v>
      </c>
      <c r="I182" s="24">
        <f t="shared" si="88"/>
        <v>2.4999999999999956E-2</v>
      </c>
    </row>
    <row r="183" spans="2:9">
      <c r="B183" s="188">
        <f t="shared" si="55"/>
        <v>850</v>
      </c>
      <c r="C183" s="25" t="s">
        <v>104</v>
      </c>
      <c r="D183" s="25"/>
      <c r="E183" s="24">
        <f t="shared" ref="E183:I183" si="89">E140/D97</f>
        <v>1.6462715301407988E-2</v>
      </c>
      <c r="F183" s="24">
        <f t="shared" si="89"/>
        <v>3.5646163692795052E-2</v>
      </c>
      <c r="G183" s="24">
        <f t="shared" si="89"/>
        <v>-4.1814834236148591E-3</v>
      </c>
      <c r="H183" s="24">
        <f t="shared" si="89"/>
        <v>2.4999999999999842E-2</v>
      </c>
      <c r="I183" s="24">
        <f t="shared" si="89"/>
        <v>2.4999999999999765E-2</v>
      </c>
    </row>
    <row r="184" spans="2:9">
      <c r="B184" s="188">
        <f t="shared" si="55"/>
        <v>875</v>
      </c>
      <c r="C184" s="25" t="s">
        <v>104</v>
      </c>
      <c r="D184" s="25"/>
      <c r="E184" s="24">
        <f t="shared" ref="E184:I184" si="90">E141/D98</f>
        <v>1.735813538573678E-2</v>
      </c>
      <c r="F184" s="24">
        <f t="shared" si="90"/>
        <v>3.569129858735999E-2</v>
      </c>
      <c r="G184" s="24">
        <f t="shared" si="90"/>
        <v>-4.331684011225711E-3</v>
      </c>
      <c r="H184" s="24">
        <f t="shared" si="90"/>
        <v>2.5000000000000078E-2</v>
      </c>
      <c r="I184" s="24">
        <f t="shared" si="90"/>
        <v>2.4999999999999967E-2</v>
      </c>
    </row>
    <row r="185" spans="2:9">
      <c r="B185" s="188">
        <f t="shared" si="55"/>
        <v>900</v>
      </c>
      <c r="C185" s="25" t="s">
        <v>104</v>
      </c>
      <c r="D185" s="25"/>
      <c r="E185" s="24">
        <f t="shared" ref="E185:I185" si="91">E142/D99</f>
        <v>1.8206134671643722E-2</v>
      </c>
      <c r="F185" s="24">
        <f t="shared" si="91"/>
        <v>3.5733969981393554E-2</v>
      </c>
      <c r="G185" s="24">
        <f t="shared" si="91"/>
        <v>-4.4736744858247289E-3</v>
      </c>
      <c r="H185" s="24">
        <f t="shared" si="91"/>
        <v>2.4999999999999915E-2</v>
      </c>
      <c r="I185" s="24">
        <f t="shared" si="91"/>
        <v>2.499999999999979E-2</v>
      </c>
    </row>
    <row r="186" spans="2:9">
      <c r="B186" s="188">
        <f t="shared" si="55"/>
        <v>1000</v>
      </c>
      <c r="C186" s="25" t="s">
        <v>104</v>
      </c>
      <c r="D186" s="25"/>
      <c r="E186" s="24">
        <f t="shared" ref="E186:I186" si="92">E143/D100</f>
        <v>2.1192049221514502E-2</v>
      </c>
      <c r="F186" s="24">
        <f t="shared" si="92"/>
        <v>3.5883657351095763E-2</v>
      </c>
      <c r="G186" s="24">
        <f t="shared" si="92"/>
        <v>-4.971671665073207E-3</v>
      </c>
      <c r="H186" s="24">
        <f t="shared" si="92"/>
        <v>2.500000000000004E-2</v>
      </c>
      <c r="I186" s="24">
        <f t="shared" si="92"/>
        <v>2.4999999999999821E-2</v>
      </c>
    </row>
    <row r="187" spans="2:9">
      <c r="B187" s="188">
        <f t="shared" si="55"/>
        <v>2000</v>
      </c>
      <c r="C187" s="25" t="s">
        <v>104</v>
      </c>
      <c r="D187" s="25"/>
      <c r="E187" s="24">
        <f t="shared" ref="E187:I187" si="93">E144/D101</f>
        <v>3.4983139548379151E-2</v>
      </c>
      <c r="F187" s="24">
        <f t="shared" si="93"/>
        <v>3.6563813798699663E-2</v>
      </c>
      <c r="G187" s="24">
        <f t="shared" si="93"/>
        <v>-7.23268290828207E-3</v>
      </c>
      <c r="H187" s="24">
        <f t="shared" si="93"/>
        <v>2.4999999999999915E-2</v>
      </c>
      <c r="I187" s="24">
        <f t="shared" si="93"/>
        <v>2.4999999999999824E-2</v>
      </c>
    </row>
    <row r="188" spans="2:9">
      <c r="B188" s="188">
        <f t="shared" si="55"/>
        <v>5000</v>
      </c>
      <c r="C188" s="25" t="s">
        <v>104</v>
      </c>
      <c r="D188" s="25"/>
      <c r="E188" s="24">
        <f t="shared" ref="E188:I188" si="94">E145/D102</f>
        <v>4.3547312298664854E-2</v>
      </c>
      <c r="F188" s="24">
        <f t="shared" si="94"/>
        <v>3.69771380772137E-2</v>
      </c>
      <c r="G188" s="24">
        <f t="shared" si="94"/>
        <v>-8.6052279923468939E-3</v>
      </c>
      <c r="H188" s="24">
        <f t="shared" si="94"/>
        <v>2.4999999999999842E-2</v>
      </c>
      <c r="I188" s="24">
        <f t="shared" si="94"/>
        <v>2.4999999999999963E-2</v>
      </c>
    </row>
    <row r="189" spans="2:9">
      <c r="B189" s="188">
        <f t="shared" si="55"/>
        <v>10000</v>
      </c>
      <c r="C189" s="25" t="s">
        <v>104</v>
      </c>
      <c r="D189" s="25"/>
      <c r="E189" s="24">
        <f t="shared" ref="E189:I189" si="95">E146/D103</f>
        <v>4.645219733113589E-2</v>
      </c>
      <c r="F189" s="24">
        <f t="shared" si="95"/>
        <v>3.7115797161225261E-2</v>
      </c>
      <c r="G189" s="24">
        <f t="shared" si="95"/>
        <v>-9.065434571902108E-3</v>
      </c>
      <c r="H189" s="24">
        <f t="shared" si="95"/>
        <v>2.4999999999999883E-2</v>
      </c>
      <c r="I189" s="24">
        <f t="shared" si="95"/>
        <v>2.4999999999999859E-2</v>
      </c>
    </row>
    <row r="190" spans="2:9">
      <c r="D190" s="25"/>
    </row>
    <row r="191" spans="2:9">
      <c r="D191" s="25"/>
    </row>
    <row r="192" spans="2:9">
      <c r="D192" s="25"/>
    </row>
    <row r="193" spans="4:4">
      <c r="D193" s="25"/>
    </row>
    <row r="194" spans="4:4">
      <c r="D194" s="25"/>
    </row>
    <row r="195" spans="4:4">
      <c r="D195" s="25"/>
    </row>
    <row r="196" spans="4:4">
      <c r="D196" s="25"/>
    </row>
    <row r="197" spans="4:4">
      <c r="D197" s="25"/>
    </row>
    <row r="198" spans="4:4">
      <c r="D198" s="25"/>
    </row>
    <row r="199" spans="4:4">
      <c r="D199" s="25"/>
    </row>
    <row r="200" spans="4:4">
      <c r="D200" s="25"/>
    </row>
    <row r="201" spans="4:4">
      <c r="D201" s="25"/>
    </row>
    <row r="202" spans="4:4">
      <c r="D202" s="25"/>
    </row>
  </sheetData>
  <pageMargins left="0" right="0" top="0" bottom="0" header="0" footer="0"/>
  <pageSetup paperSize="9" scale="85"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F8EF83F2-55C9-7E41-A4D3-CE6E2350E7E4}">
            <xm:f>'2. Notes and Assumptions'!$D$92="ERROR"</xm:f>
            <x14:dxf>
              <font>
                <color theme="0"/>
              </font>
              <fill>
                <patternFill patternType="solid">
                  <fgColor indexed="64"/>
                  <bgColor rgb="FFFF0000"/>
                </patternFill>
              </fill>
            </x14:dxf>
          </x14:cfRule>
          <x14:cfRule type="expression" priority="2" id="{D638957E-93EF-2342-9E50-C16CBB330E32}">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sheetPr codeName="Sheet24"/>
  <dimension ref="A1:I202"/>
  <sheetViews>
    <sheetView zoomScaleNormal="100" workbookViewId="0">
      <pane ySplit="4" topLeftCell="A5" activePane="bottomLeft" state="frozen"/>
      <selection pane="bottomLeft" activeCell="A39" sqref="A39"/>
    </sheetView>
  </sheetViews>
  <sheetFormatPr defaultColWidth="10.6640625" defaultRowHeight="15"/>
  <cols>
    <col min="1" max="1" width="30.6640625" style="35" customWidth="1"/>
    <col min="2" max="2" width="17.5546875" style="2" customWidth="1"/>
    <col min="3" max="3" width="8.88671875" style="2" customWidth="1"/>
    <col min="4" max="4" width="9.109375" style="2" customWidth="1"/>
    <col min="5" max="6" width="9.88671875" style="2" customWidth="1"/>
    <col min="7" max="7" width="9.33203125" style="2" customWidth="1"/>
    <col min="8" max="8" width="8.6640625" style="2" customWidth="1"/>
    <col min="9" max="9" width="9.44140625" style="2" customWidth="1"/>
    <col min="10" max="16384" width="10.6640625" style="2"/>
  </cols>
  <sheetData>
    <row r="1" spans="1:9" s="6" customFormat="1" ht="23.25" customHeight="1">
      <c r="A1" s="92" t="s">
        <v>115</v>
      </c>
      <c r="B1" s="92"/>
      <c r="C1" s="92"/>
      <c r="D1" s="92"/>
      <c r="E1" s="92"/>
      <c r="F1" s="92"/>
      <c r="G1" s="92"/>
      <c r="H1" s="92"/>
    </row>
    <row r="2" spans="1:9" ht="18" customHeight="1">
      <c r="A2" s="3" t="str">
        <f ca="1">MID(CELL("filename",A1),FIND("]",CELL("filename",A1))+1,LEN(CELL("filename",A1))-FIND("]",CELL("filename",A1)))</f>
        <v>29. Bill Impacts - Case 2</v>
      </c>
      <c r="B2" s="3"/>
      <c r="C2" s="3"/>
      <c r="D2" s="3"/>
      <c r="E2" s="3"/>
      <c r="F2" s="3"/>
      <c r="G2" s="3"/>
      <c r="H2" s="3"/>
    </row>
    <row r="3" spans="1:9" s="6" customFormat="1">
      <c r="A3" s="35">
        <f>'2. Notes and Assumptions'!B73</f>
        <v>49</v>
      </c>
      <c r="B3" s="63"/>
      <c r="C3" s="162" t="s">
        <v>0</v>
      </c>
      <c r="D3" s="17">
        <v>0</v>
      </c>
      <c r="E3" s="17">
        <v>1</v>
      </c>
      <c r="F3" s="17">
        <v>2</v>
      </c>
      <c r="G3" s="17">
        <v>3</v>
      </c>
      <c r="H3" s="17">
        <v>4</v>
      </c>
      <c r="I3" s="17">
        <v>5</v>
      </c>
    </row>
    <row r="4" spans="1:9" s="6" customFormat="1">
      <c r="A4" s="35"/>
      <c r="B4" s="65"/>
      <c r="C4" s="163" t="s">
        <v>1</v>
      </c>
      <c r="D4" s="19" t="s">
        <v>162</v>
      </c>
      <c r="E4" s="19" t="s">
        <v>10</v>
      </c>
      <c r="F4" s="19" t="s">
        <v>11</v>
      </c>
      <c r="G4" s="19" t="s">
        <v>2</v>
      </c>
      <c r="H4" s="19" t="s">
        <v>3</v>
      </c>
      <c r="I4" s="19" t="s">
        <v>4</v>
      </c>
    </row>
    <row r="5" spans="1:9" ht="15.75">
      <c r="B5" s="10" t="s">
        <v>158</v>
      </c>
    </row>
    <row r="6" spans="1:9">
      <c r="B6" s="2" t="s">
        <v>154</v>
      </c>
      <c r="C6" s="5" t="s">
        <v>97</v>
      </c>
      <c r="D6" s="75">
        <f>'3. General Model Inputs'!D87</f>
        <v>99.83</v>
      </c>
      <c r="E6" s="75">
        <f>'17. Water - Price Setting'!E59</f>
        <v>100</v>
      </c>
      <c r="F6" s="75">
        <f>'17. Water - Price Setting'!F59</f>
        <v>102.56</v>
      </c>
      <c r="G6" s="75">
        <f>'17. Water - Price Setting'!G59</f>
        <v>99.336162962931866</v>
      </c>
      <c r="H6" s="75">
        <f>'17. Water - Price Setting'!H59</f>
        <v>101.81956703700516</v>
      </c>
      <c r="I6" s="75">
        <f>'17. Water - Price Setting'!I59</f>
        <v>104.36505621293028</v>
      </c>
    </row>
    <row r="7" spans="1:9">
      <c r="B7" s="2" t="s">
        <v>100</v>
      </c>
      <c r="C7" s="5" t="s">
        <v>98</v>
      </c>
      <c r="D7" s="75">
        <f>'3. General Model Inputs'!D88</f>
        <v>2.4300000000000002</v>
      </c>
      <c r="E7" s="75">
        <f>'17. Water - Price Setting'!E60</f>
        <v>2.5499999999999998</v>
      </c>
      <c r="F7" s="75">
        <f>'17. Water - Price Setting'!F60</f>
        <v>2.64</v>
      </c>
      <c r="G7" s="75">
        <f>'17. Water - Price Setting'!G60</f>
        <v>2.557015115270477</v>
      </c>
      <c r="H7" s="75">
        <f>'17. Water - Price Setting'!H60</f>
        <v>2.6209404931522386</v>
      </c>
      <c r="I7" s="75">
        <f>'17. Water - Price Setting'!I60</f>
        <v>2.6864640054810445</v>
      </c>
    </row>
    <row r="8" spans="1:9">
      <c r="B8" s="2" t="s">
        <v>155</v>
      </c>
      <c r="C8" s="5" t="s">
        <v>98</v>
      </c>
      <c r="D8" s="75">
        <f>'3. General Model Inputs'!D89</f>
        <v>4.8600000000000003</v>
      </c>
      <c r="E8" s="75">
        <f>'17. Water - Price Setting'!E61</f>
        <v>5.0999999999999996</v>
      </c>
      <c r="F8" s="75">
        <f>'17. Water - Price Setting'!F61</f>
        <v>5.29</v>
      </c>
      <c r="G8" s="75">
        <f>'17. Water - Price Setting'!G61</f>
        <v>5.1237158938563727</v>
      </c>
      <c r="H8" s="75">
        <f>'17. Water - Price Setting'!H61</f>
        <v>5.251808791202782</v>
      </c>
      <c r="I8" s="75">
        <f>'17. Water - Price Setting'!I61</f>
        <v>5.3831040109828514</v>
      </c>
    </row>
    <row r="9" spans="1:9">
      <c r="A9" s="35">
        <f>'2. Notes and Assumptions'!B43</f>
        <v>20</v>
      </c>
      <c r="B9" s="2" t="s">
        <v>156</v>
      </c>
      <c r="C9" s="5" t="s">
        <v>157</v>
      </c>
      <c r="D9" s="85">
        <f>'3. General Model Inputs'!D90</f>
        <v>0.54800000000000004</v>
      </c>
      <c r="E9" s="85">
        <f>'3. General Model Inputs'!E90</f>
        <v>0.54800000000000004</v>
      </c>
      <c r="F9" s="85">
        <f>'3. General Model Inputs'!F90</f>
        <v>0.54800000000000004</v>
      </c>
      <c r="G9" s="85">
        <f t="shared" ref="G9:I9" si="0">F9</f>
        <v>0.54800000000000004</v>
      </c>
      <c r="H9" s="85">
        <f t="shared" si="0"/>
        <v>0.54800000000000004</v>
      </c>
      <c r="I9" s="85">
        <f t="shared" si="0"/>
        <v>0.54800000000000004</v>
      </c>
    </row>
    <row r="10" spans="1:9">
      <c r="B10" s="2" t="s">
        <v>153</v>
      </c>
      <c r="C10" s="5" t="s">
        <v>97</v>
      </c>
      <c r="D10" s="75">
        <f>'3. General Model Inputs'!D91</f>
        <v>600.65</v>
      </c>
      <c r="E10" s="75">
        <f>'25. Sewer - Price Setting'!E50</f>
        <v>492.02</v>
      </c>
      <c r="F10" s="75">
        <f>'25. Sewer - Price Setting'!F50</f>
        <v>505.41</v>
      </c>
      <c r="G10" s="75">
        <f>'25. Sewer - Price Setting'!G50</f>
        <v>530.36157403152595</v>
      </c>
      <c r="H10" s="75">
        <f>'25. Sewer - Price Setting'!H50</f>
        <v>543.6206133823141</v>
      </c>
      <c r="I10" s="75">
        <f>'25. Sewer - Price Setting'!I50</f>
        <v>557.21112871687194</v>
      </c>
    </row>
    <row r="11" spans="1:9">
      <c r="C11" s="5"/>
    </row>
    <row r="12" spans="1:9" ht="15.75">
      <c r="B12" s="10" t="s">
        <v>146</v>
      </c>
      <c r="C12" s="5"/>
    </row>
    <row r="13" spans="1:9">
      <c r="A13" s="35">
        <f>'2. Notes and Assumptions'!B41</f>
        <v>19</v>
      </c>
      <c r="B13" s="2" t="s">
        <v>147</v>
      </c>
      <c r="C13" s="5" t="s">
        <v>104</v>
      </c>
      <c r="D13" s="88">
        <f>'28. Bill Impacts - Case 1'!D13</f>
        <v>0.21619850861025575</v>
      </c>
      <c r="E13" s="88">
        <f>'28. Bill Impacts - Case 1'!E13</f>
        <v>0.21619850861025575</v>
      </c>
      <c r="F13" s="88">
        <f>'28. Bill Impacts - Case 1'!F13</f>
        <v>0.21619850861025575</v>
      </c>
      <c r="G13" s="88">
        <f>'28. Bill Impacts - Case 1'!G13</f>
        <v>0.21619850861025575</v>
      </c>
      <c r="H13" s="88">
        <f>'28. Bill Impacts - Case 1'!H13</f>
        <v>0.21619850861025575</v>
      </c>
      <c r="I13" s="88">
        <f>'28. Bill Impacts - Case 1'!I13</f>
        <v>0.21619850861025575</v>
      </c>
    </row>
    <row r="14" spans="1:9">
      <c r="B14" s="2" t="s">
        <v>148</v>
      </c>
      <c r="C14" s="5" t="s">
        <v>104</v>
      </c>
      <c r="D14" s="88">
        <f>'28. Bill Impacts - Case 1'!D14</f>
        <v>0.23774727035725293</v>
      </c>
      <c r="E14" s="88">
        <f>'28. Bill Impacts - Case 1'!E14</f>
        <v>0.23774727035725293</v>
      </c>
      <c r="F14" s="88">
        <f>'28. Bill Impacts - Case 1'!F14</f>
        <v>0.23774727035725293</v>
      </c>
      <c r="G14" s="88">
        <f>'28. Bill Impacts - Case 1'!G14</f>
        <v>0.23774727035725293</v>
      </c>
      <c r="H14" s="88">
        <f>'28. Bill Impacts - Case 1'!H14</f>
        <v>0.23774727035725293</v>
      </c>
      <c r="I14" s="88">
        <f>'28. Bill Impacts - Case 1'!I14</f>
        <v>0.23774727035725293</v>
      </c>
    </row>
    <row r="15" spans="1:9">
      <c r="B15" s="2" t="s">
        <v>149</v>
      </c>
      <c r="C15" s="5" t="s">
        <v>104</v>
      </c>
      <c r="D15" s="88">
        <f>'28. Bill Impacts - Case 1'!D15</f>
        <v>0.29298136664861363</v>
      </c>
      <c r="E15" s="88">
        <f>'28. Bill Impacts - Case 1'!E15</f>
        <v>0.29298136664861363</v>
      </c>
      <c r="F15" s="88">
        <f>'28. Bill Impacts - Case 1'!F15</f>
        <v>0.29298136664861363</v>
      </c>
      <c r="G15" s="88">
        <f>'28. Bill Impacts - Case 1'!G15</f>
        <v>0.29298136664861363</v>
      </c>
      <c r="H15" s="88">
        <f>'28. Bill Impacts - Case 1'!H15</f>
        <v>0.29298136664861363</v>
      </c>
      <c r="I15" s="88">
        <f>'28. Bill Impacts - Case 1'!I15</f>
        <v>0.29298136664861363</v>
      </c>
    </row>
    <row r="16" spans="1:9">
      <c r="B16" s="2" t="s">
        <v>150</v>
      </c>
      <c r="C16" s="5" t="s">
        <v>104</v>
      </c>
      <c r="D16" s="88">
        <f>'28. Bill Impacts - Case 1'!D16</f>
        <v>0.25307285438387772</v>
      </c>
      <c r="E16" s="88">
        <f>'28. Bill Impacts - Case 1'!E16</f>
        <v>0.25307285438387772</v>
      </c>
      <c r="F16" s="88">
        <f>'28. Bill Impacts - Case 1'!F16</f>
        <v>0.25307285438387772</v>
      </c>
      <c r="G16" s="88">
        <f>'28. Bill Impacts - Case 1'!G16</f>
        <v>0.25307285438387772</v>
      </c>
      <c r="H16" s="88">
        <f>'28. Bill Impacts - Case 1'!H16</f>
        <v>0.25307285438387772</v>
      </c>
      <c r="I16" s="88">
        <f>'28. Bill Impacts - Case 1'!I16</f>
        <v>0.25307285438387772</v>
      </c>
    </row>
    <row r="17" spans="2:9">
      <c r="C17" s="5"/>
      <c r="D17" s="86">
        <f>SUM(D13:D16)</f>
        <v>1</v>
      </c>
      <c r="E17" s="86">
        <f t="shared" ref="E17:I17" si="1">SUM(E13:E16)</f>
        <v>1</v>
      </c>
      <c r="F17" s="86">
        <f t="shared" si="1"/>
        <v>1</v>
      </c>
      <c r="G17" s="86">
        <f t="shared" si="1"/>
        <v>1</v>
      </c>
      <c r="H17" s="86">
        <f t="shared" si="1"/>
        <v>1</v>
      </c>
      <c r="I17" s="86">
        <f t="shared" si="1"/>
        <v>1</v>
      </c>
    </row>
    <row r="18" spans="2:9">
      <c r="C18" s="5"/>
      <c r="D18" s="87"/>
    </row>
    <row r="19" spans="2:9" ht="15.75">
      <c r="B19" s="10" t="s">
        <v>152</v>
      </c>
      <c r="C19" s="167"/>
      <c r="D19" s="25"/>
      <c r="E19" s="25"/>
      <c r="F19" s="25"/>
      <c r="G19" s="25"/>
      <c r="H19" s="25"/>
      <c r="I19" s="25"/>
    </row>
    <row r="20" spans="2:9">
      <c r="B20" s="188">
        <f>'28. Bill Impacts - Case 1'!B20</f>
        <v>0</v>
      </c>
      <c r="C20" s="167" t="s">
        <v>94</v>
      </c>
      <c r="D20" s="25">
        <f t="shared" ref="D20:I29" si="2">MIN($B20*D$13,(365/4)*D$9)+MIN($B20*D$14,(365/4)*D$9)+MIN($B20*D$15,(365/4)*D$9)+MIN($B20*D$16,(365/4)*D$9)</f>
        <v>0</v>
      </c>
      <c r="E20" s="25">
        <f t="shared" si="2"/>
        <v>0</v>
      </c>
      <c r="F20" s="25">
        <f t="shared" si="2"/>
        <v>0</v>
      </c>
      <c r="G20" s="25">
        <f t="shared" si="2"/>
        <v>0</v>
      </c>
      <c r="H20" s="25">
        <f t="shared" si="2"/>
        <v>0</v>
      </c>
      <c r="I20" s="25">
        <f t="shared" si="2"/>
        <v>0</v>
      </c>
    </row>
    <row r="21" spans="2:9">
      <c r="B21" s="188">
        <f>'28. Bill Impacts - Case 1'!B21</f>
        <v>25</v>
      </c>
      <c r="C21" s="167" t="s">
        <v>94</v>
      </c>
      <c r="D21" s="25">
        <f t="shared" si="2"/>
        <v>25</v>
      </c>
      <c r="E21" s="25">
        <f t="shared" si="2"/>
        <v>25</v>
      </c>
      <c r="F21" s="25">
        <f t="shared" si="2"/>
        <v>25</v>
      </c>
      <c r="G21" s="25">
        <f t="shared" si="2"/>
        <v>25</v>
      </c>
      <c r="H21" s="25">
        <f t="shared" si="2"/>
        <v>25</v>
      </c>
      <c r="I21" s="25">
        <f t="shared" si="2"/>
        <v>25</v>
      </c>
    </row>
    <row r="22" spans="2:9">
      <c r="B22" s="188">
        <f>'28. Bill Impacts - Case 1'!B22</f>
        <v>50</v>
      </c>
      <c r="C22" s="167" t="s">
        <v>94</v>
      </c>
      <c r="D22" s="25">
        <f t="shared" si="2"/>
        <v>50</v>
      </c>
      <c r="E22" s="25">
        <f t="shared" si="2"/>
        <v>50</v>
      </c>
      <c r="F22" s="25">
        <f t="shared" si="2"/>
        <v>50</v>
      </c>
      <c r="G22" s="25">
        <f t="shared" si="2"/>
        <v>50</v>
      </c>
      <c r="H22" s="25">
        <f t="shared" si="2"/>
        <v>50</v>
      </c>
      <c r="I22" s="25">
        <f t="shared" si="2"/>
        <v>50</v>
      </c>
    </row>
    <row r="23" spans="2:9">
      <c r="B23" s="188">
        <f>'28. Bill Impacts - Case 1'!B23</f>
        <v>75</v>
      </c>
      <c r="C23" s="167" t="s">
        <v>94</v>
      </c>
      <c r="D23" s="25">
        <f t="shared" si="2"/>
        <v>75</v>
      </c>
      <c r="E23" s="25">
        <f t="shared" si="2"/>
        <v>75</v>
      </c>
      <c r="F23" s="25">
        <f t="shared" si="2"/>
        <v>75</v>
      </c>
      <c r="G23" s="25">
        <f t="shared" si="2"/>
        <v>75</v>
      </c>
      <c r="H23" s="25">
        <f t="shared" si="2"/>
        <v>75</v>
      </c>
      <c r="I23" s="25">
        <f t="shared" si="2"/>
        <v>75</v>
      </c>
    </row>
    <row r="24" spans="2:9">
      <c r="B24" s="188">
        <f>'28. Bill Impacts - Case 1'!B24</f>
        <v>100</v>
      </c>
      <c r="C24" s="167" t="s">
        <v>94</v>
      </c>
      <c r="D24" s="25">
        <f t="shared" si="2"/>
        <v>100</v>
      </c>
      <c r="E24" s="25">
        <f t="shared" si="2"/>
        <v>100</v>
      </c>
      <c r="F24" s="25">
        <f t="shared" si="2"/>
        <v>100</v>
      </c>
      <c r="G24" s="25">
        <f t="shared" si="2"/>
        <v>100</v>
      </c>
      <c r="H24" s="25">
        <f t="shared" si="2"/>
        <v>100</v>
      </c>
      <c r="I24" s="25">
        <f t="shared" si="2"/>
        <v>100</v>
      </c>
    </row>
    <row r="25" spans="2:9">
      <c r="B25" s="188">
        <f>'28. Bill Impacts - Case 1'!B25</f>
        <v>125</v>
      </c>
      <c r="C25" s="167" t="s">
        <v>94</v>
      </c>
      <c r="D25" s="25">
        <f t="shared" si="2"/>
        <v>125</v>
      </c>
      <c r="E25" s="25">
        <f t="shared" si="2"/>
        <v>125</v>
      </c>
      <c r="F25" s="25">
        <f t="shared" si="2"/>
        <v>125</v>
      </c>
      <c r="G25" s="25">
        <f t="shared" si="2"/>
        <v>125</v>
      </c>
      <c r="H25" s="25">
        <f t="shared" si="2"/>
        <v>125</v>
      </c>
      <c r="I25" s="25">
        <f t="shared" si="2"/>
        <v>125</v>
      </c>
    </row>
    <row r="26" spans="2:9">
      <c r="B26" s="188">
        <f>'28. Bill Impacts - Case 1'!B26</f>
        <v>150</v>
      </c>
      <c r="C26" s="167" t="s">
        <v>94</v>
      </c>
      <c r="D26" s="25">
        <f t="shared" si="2"/>
        <v>150</v>
      </c>
      <c r="E26" s="25">
        <f t="shared" si="2"/>
        <v>150</v>
      </c>
      <c r="F26" s="25">
        <f t="shared" si="2"/>
        <v>150</v>
      </c>
      <c r="G26" s="25">
        <f t="shared" si="2"/>
        <v>150</v>
      </c>
      <c r="H26" s="25">
        <f t="shared" si="2"/>
        <v>150</v>
      </c>
      <c r="I26" s="25">
        <f t="shared" si="2"/>
        <v>150</v>
      </c>
    </row>
    <row r="27" spans="2:9">
      <c r="B27" s="188">
        <f>'28. Bill Impacts - Case 1'!B27</f>
        <v>175</v>
      </c>
      <c r="C27" s="167" t="s">
        <v>94</v>
      </c>
      <c r="D27" s="25">
        <f t="shared" si="2"/>
        <v>173.73326083649263</v>
      </c>
      <c r="E27" s="25">
        <f t="shared" si="2"/>
        <v>173.73326083649263</v>
      </c>
      <c r="F27" s="25">
        <f t="shared" si="2"/>
        <v>173.73326083649263</v>
      </c>
      <c r="G27" s="25">
        <f t="shared" si="2"/>
        <v>173.73326083649263</v>
      </c>
      <c r="H27" s="25">
        <f t="shared" si="2"/>
        <v>173.73326083649263</v>
      </c>
      <c r="I27" s="25">
        <f t="shared" si="2"/>
        <v>173.73326083649263</v>
      </c>
    </row>
    <row r="28" spans="2:9">
      <c r="B28" s="188">
        <f>'28. Bill Impacts - Case 1'!B28</f>
        <v>200</v>
      </c>
      <c r="C28" s="167" t="s">
        <v>94</v>
      </c>
      <c r="D28" s="25">
        <f t="shared" si="2"/>
        <v>190.79915579350174</v>
      </c>
      <c r="E28" s="25">
        <f t="shared" si="2"/>
        <v>190.79915579350174</v>
      </c>
      <c r="F28" s="25">
        <f t="shared" si="2"/>
        <v>190.79915579350174</v>
      </c>
      <c r="G28" s="25">
        <f t="shared" si="2"/>
        <v>190.79915579350174</v>
      </c>
      <c r="H28" s="25">
        <f t="shared" si="2"/>
        <v>190.79915579350174</v>
      </c>
      <c r="I28" s="25">
        <f t="shared" si="2"/>
        <v>190.79915579350174</v>
      </c>
    </row>
    <row r="29" spans="2:9">
      <c r="B29" s="188">
        <f>'28. Bill Impacts - Case 1'!B29</f>
        <v>225</v>
      </c>
      <c r="C29" s="167" t="s">
        <v>94</v>
      </c>
      <c r="D29" s="25">
        <f t="shared" si="2"/>
        <v>198.65966443730753</v>
      </c>
      <c r="E29" s="25">
        <f t="shared" si="2"/>
        <v>198.65966443730753</v>
      </c>
      <c r="F29" s="25">
        <f t="shared" si="2"/>
        <v>198.65966443730753</v>
      </c>
      <c r="G29" s="25">
        <f t="shared" si="2"/>
        <v>198.65966443730753</v>
      </c>
      <c r="H29" s="25">
        <f t="shared" si="2"/>
        <v>198.65966443730753</v>
      </c>
      <c r="I29" s="25">
        <f t="shared" si="2"/>
        <v>198.65966443730753</v>
      </c>
    </row>
    <row r="30" spans="2:9">
      <c r="B30" s="188">
        <f>'28. Bill Impacts - Case 1'!B30</f>
        <v>250</v>
      </c>
      <c r="C30" s="167" t="s">
        <v>94</v>
      </c>
      <c r="D30" s="25">
        <f t="shared" ref="D30:I39" si="3">MIN($B30*D$13,(365/4)*D$9)+MIN($B30*D$14,(365/4)*D$9)+MIN($B30*D$15,(365/4)*D$9)+MIN($B30*D$16,(365/4)*D$9)</f>
        <v>200.02</v>
      </c>
      <c r="E30" s="25">
        <f t="shared" si="3"/>
        <v>200.02</v>
      </c>
      <c r="F30" s="25">
        <f t="shared" si="3"/>
        <v>200.02</v>
      </c>
      <c r="G30" s="25">
        <f t="shared" si="3"/>
        <v>200.02</v>
      </c>
      <c r="H30" s="25">
        <f t="shared" si="3"/>
        <v>200.02</v>
      </c>
      <c r="I30" s="25">
        <f t="shared" si="3"/>
        <v>200.02</v>
      </c>
    </row>
    <row r="31" spans="2:9">
      <c r="B31" s="188">
        <f>'28. Bill Impacts - Case 1'!B31</f>
        <v>275</v>
      </c>
      <c r="C31" s="167" t="s">
        <v>94</v>
      </c>
      <c r="D31" s="25">
        <f t="shared" si="3"/>
        <v>200.02</v>
      </c>
      <c r="E31" s="25">
        <f t="shared" si="3"/>
        <v>200.02</v>
      </c>
      <c r="F31" s="25">
        <f t="shared" si="3"/>
        <v>200.02</v>
      </c>
      <c r="G31" s="25">
        <f t="shared" si="3"/>
        <v>200.02</v>
      </c>
      <c r="H31" s="25">
        <f t="shared" si="3"/>
        <v>200.02</v>
      </c>
      <c r="I31" s="25">
        <f t="shared" si="3"/>
        <v>200.02</v>
      </c>
    </row>
    <row r="32" spans="2:9">
      <c r="B32" s="188">
        <f>'28. Bill Impacts - Case 1'!B32</f>
        <v>300</v>
      </c>
      <c r="C32" s="167" t="s">
        <v>94</v>
      </c>
      <c r="D32" s="25">
        <f t="shared" si="3"/>
        <v>200.02</v>
      </c>
      <c r="E32" s="25">
        <f t="shared" si="3"/>
        <v>200.02</v>
      </c>
      <c r="F32" s="25">
        <f t="shared" si="3"/>
        <v>200.02</v>
      </c>
      <c r="G32" s="25">
        <f t="shared" si="3"/>
        <v>200.02</v>
      </c>
      <c r="H32" s="25">
        <f t="shared" si="3"/>
        <v>200.02</v>
      </c>
      <c r="I32" s="25">
        <f t="shared" si="3"/>
        <v>200.02</v>
      </c>
    </row>
    <row r="33" spans="2:9">
      <c r="B33" s="188">
        <f>'28. Bill Impacts - Case 1'!B33</f>
        <v>325</v>
      </c>
      <c r="C33" s="167" t="s">
        <v>94</v>
      </c>
      <c r="D33" s="25">
        <f t="shared" si="3"/>
        <v>200.02</v>
      </c>
      <c r="E33" s="25">
        <f t="shared" si="3"/>
        <v>200.02</v>
      </c>
      <c r="F33" s="25">
        <f t="shared" si="3"/>
        <v>200.02</v>
      </c>
      <c r="G33" s="25">
        <f t="shared" si="3"/>
        <v>200.02</v>
      </c>
      <c r="H33" s="25">
        <f t="shared" si="3"/>
        <v>200.02</v>
      </c>
      <c r="I33" s="25">
        <f t="shared" si="3"/>
        <v>200.02</v>
      </c>
    </row>
    <row r="34" spans="2:9">
      <c r="B34" s="188">
        <f>'28. Bill Impacts - Case 1'!B34</f>
        <v>350</v>
      </c>
      <c r="C34" s="167" t="s">
        <v>94</v>
      </c>
      <c r="D34" s="25">
        <f t="shared" si="3"/>
        <v>200.02</v>
      </c>
      <c r="E34" s="25">
        <f t="shared" si="3"/>
        <v>200.02</v>
      </c>
      <c r="F34" s="25">
        <f t="shared" si="3"/>
        <v>200.02</v>
      </c>
      <c r="G34" s="25">
        <f t="shared" si="3"/>
        <v>200.02</v>
      </c>
      <c r="H34" s="25">
        <f t="shared" si="3"/>
        <v>200.02</v>
      </c>
      <c r="I34" s="25">
        <f t="shared" si="3"/>
        <v>200.02</v>
      </c>
    </row>
    <row r="35" spans="2:9">
      <c r="B35" s="188">
        <f>'28. Bill Impacts - Case 1'!B35</f>
        <v>375</v>
      </c>
      <c r="C35" s="167" t="s">
        <v>94</v>
      </c>
      <c r="D35" s="25">
        <f t="shared" si="3"/>
        <v>200.02</v>
      </c>
      <c r="E35" s="25">
        <f t="shared" si="3"/>
        <v>200.02</v>
      </c>
      <c r="F35" s="25">
        <f t="shared" si="3"/>
        <v>200.02</v>
      </c>
      <c r="G35" s="25">
        <f t="shared" si="3"/>
        <v>200.02</v>
      </c>
      <c r="H35" s="25">
        <f t="shared" si="3"/>
        <v>200.02</v>
      </c>
      <c r="I35" s="25">
        <f t="shared" si="3"/>
        <v>200.02</v>
      </c>
    </row>
    <row r="36" spans="2:9">
      <c r="B36" s="188">
        <f>'28. Bill Impacts - Case 1'!B36</f>
        <v>400</v>
      </c>
      <c r="C36" s="167" t="s">
        <v>94</v>
      </c>
      <c r="D36" s="25">
        <f t="shared" si="3"/>
        <v>200.02</v>
      </c>
      <c r="E36" s="25">
        <f t="shared" si="3"/>
        <v>200.02</v>
      </c>
      <c r="F36" s="25">
        <f t="shared" si="3"/>
        <v>200.02</v>
      </c>
      <c r="G36" s="25">
        <f t="shared" si="3"/>
        <v>200.02</v>
      </c>
      <c r="H36" s="25">
        <f t="shared" si="3"/>
        <v>200.02</v>
      </c>
      <c r="I36" s="25">
        <f t="shared" si="3"/>
        <v>200.02</v>
      </c>
    </row>
    <row r="37" spans="2:9">
      <c r="B37" s="188">
        <f>'28. Bill Impacts - Case 1'!B37</f>
        <v>425</v>
      </c>
      <c r="C37" s="167" t="s">
        <v>94</v>
      </c>
      <c r="D37" s="25">
        <f t="shared" si="3"/>
        <v>200.02</v>
      </c>
      <c r="E37" s="25">
        <f t="shared" si="3"/>
        <v>200.02</v>
      </c>
      <c r="F37" s="25">
        <f t="shared" si="3"/>
        <v>200.02</v>
      </c>
      <c r="G37" s="25">
        <f t="shared" si="3"/>
        <v>200.02</v>
      </c>
      <c r="H37" s="25">
        <f t="shared" si="3"/>
        <v>200.02</v>
      </c>
      <c r="I37" s="25">
        <f t="shared" si="3"/>
        <v>200.02</v>
      </c>
    </row>
    <row r="38" spans="2:9">
      <c r="B38" s="188">
        <f>'28. Bill Impacts - Case 1'!B38</f>
        <v>450</v>
      </c>
      <c r="C38" s="167" t="s">
        <v>94</v>
      </c>
      <c r="D38" s="25">
        <f t="shared" si="3"/>
        <v>200.02</v>
      </c>
      <c r="E38" s="25">
        <f t="shared" si="3"/>
        <v>200.02</v>
      </c>
      <c r="F38" s="25">
        <f t="shared" si="3"/>
        <v>200.02</v>
      </c>
      <c r="G38" s="25">
        <f t="shared" si="3"/>
        <v>200.02</v>
      </c>
      <c r="H38" s="25">
        <f t="shared" si="3"/>
        <v>200.02</v>
      </c>
      <c r="I38" s="25">
        <f t="shared" si="3"/>
        <v>200.02</v>
      </c>
    </row>
    <row r="39" spans="2:9">
      <c r="B39" s="188">
        <f>'28. Bill Impacts - Case 1'!B39</f>
        <v>475</v>
      </c>
      <c r="C39" s="167" t="s">
        <v>94</v>
      </c>
      <c r="D39" s="25">
        <f t="shared" si="3"/>
        <v>200.02</v>
      </c>
      <c r="E39" s="25">
        <f t="shared" si="3"/>
        <v>200.02</v>
      </c>
      <c r="F39" s="25">
        <f t="shared" si="3"/>
        <v>200.02</v>
      </c>
      <c r="G39" s="25">
        <f t="shared" si="3"/>
        <v>200.02</v>
      </c>
      <c r="H39" s="25">
        <f t="shared" si="3"/>
        <v>200.02</v>
      </c>
      <c r="I39" s="25">
        <f t="shared" si="3"/>
        <v>200.02</v>
      </c>
    </row>
    <row r="40" spans="2:9">
      <c r="B40" s="188">
        <f>'28. Bill Impacts - Case 1'!B40</f>
        <v>500</v>
      </c>
      <c r="C40" s="167" t="s">
        <v>94</v>
      </c>
      <c r="D40" s="25">
        <f t="shared" ref="D40:I49" si="4">MIN($B40*D$13,(365/4)*D$9)+MIN($B40*D$14,(365/4)*D$9)+MIN($B40*D$15,(365/4)*D$9)+MIN($B40*D$16,(365/4)*D$9)</f>
        <v>200.02</v>
      </c>
      <c r="E40" s="25">
        <f t="shared" si="4"/>
        <v>200.02</v>
      </c>
      <c r="F40" s="25">
        <f t="shared" si="4"/>
        <v>200.02</v>
      </c>
      <c r="G40" s="25">
        <f t="shared" si="4"/>
        <v>200.02</v>
      </c>
      <c r="H40" s="25">
        <f t="shared" si="4"/>
        <v>200.02</v>
      </c>
      <c r="I40" s="25">
        <f t="shared" si="4"/>
        <v>200.02</v>
      </c>
    </row>
    <row r="41" spans="2:9">
      <c r="B41" s="188">
        <f>'28. Bill Impacts - Case 1'!B41</f>
        <v>525</v>
      </c>
      <c r="C41" s="167" t="s">
        <v>94</v>
      </c>
      <c r="D41" s="25">
        <f t="shared" si="4"/>
        <v>200.02</v>
      </c>
      <c r="E41" s="25">
        <f t="shared" si="4"/>
        <v>200.02</v>
      </c>
      <c r="F41" s="25">
        <f t="shared" si="4"/>
        <v>200.02</v>
      </c>
      <c r="G41" s="25">
        <f t="shared" si="4"/>
        <v>200.02</v>
      </c>
      <c r="H41" s="25">
        <f t="shared" si="4"/>
        <v>200.02</v>
      </c>
      <c r="I41" s="25">
        <f t="shared" si="4"/>
        <v>200.02</v>
      </c>
    </row>
    <row r="42" spans="2:9">
      <c r="B42" s="188">
        <f>'28. Bill Impacts - Case 1'!B42</f>
        <v>550</v>
      </c>
      <c r="C42" s="167" t="s">
        <v>94</v>
      </c>
      <c r="D42" s="25">
        <f t="shared" si="4"/>
        <v>200.02</v>
      </c>
      <c r="E42" s="25">
        <f t="shared" si="4"/>
        <v>200.02</v>
      </c>
      <c r="F42" s="25">
        <f t="shared" si="4"/>
        <v>200.02</v>
      </c>
      <c r="G42" s="25">
        <f t="shared" si="4"/>
        <v>200.02</v>
      </c>
      <c r="H42" s="25">
        <f t="shared" si="4"/>
        <v>200.02</v>
      </c>
      <c r="I42" s="25">
        <f t="shared" si="4"/>
        <v>200.02</v>
      </c>
    </row>
    <row r="43" spans="2:9">
      <c r="B43" s="188">
        <f>'28. Bill Impacts - Case 1'!B43</f>
        <v>575</v>
      </c>
      <c r="C43" s="167" t="s">
        <v>94</v>
      </c>
      <c r="D43" s="25">
        <f t="shared" si="4"/>
        <v>200.02</v>
      </c>
      <c r="E43" s="25">
        <f t="shared" si="4"/>
        <v>200.02</v>
      </c>
      <c r="F43" s="25">
        <f t="shared" si="4"/>
        <v>200.02</v>
      </c>
      <c r="G43" s="25">
        <f t="shared" si="4"/>
        <v>200.02</v>
      </c>
      <c r="H43" s="25">
        <f t="shared" si="4"/>
        <v>200.02</v>
      </c>
      <c r="I43" s="25">
        <f t="shared" si="4"/>
        <v>200.02</v>
      </c>
    </row>
    <row r="44" spans="2:9">
      <c r="B44" s="188">
        <f>'28. Bill Impacts - Case 1'!B44</f>
        <v>600</v>
      </c>
      <c r="C44" s="167" t="s">
        <v>94</v>
      </c>
      <c r="D44" s="25">
        <f t="shared" si="4"/>
        <v>200.02</v>
      </c>
      <c r="E44" s="25">
        <f t="shared" si="4"/>
        <v>200.02</v>
      </c>
      <c r="F44" s="25">
        <f t="shared" si="4"/>
        <v>200.02</v>
      </c>
      <c r="G44" s="25">
        <f t="shared" si="4"/>
        <v>200.02</v>
      </c>
      <c r="H44" s="25">
        <f t="shared" si="4"/>
        <v>200.02</v>
      </c>
      <c r="I44" s="25">
        <f t="shared" si="4"/>
        <v>200.02</v>
      </c>
    </row>
    <row r="45" spans="2:9">
      <c r="B45" s="188">
        <f>'28. Bill Impacts - Case 1'!B45</f>
        <v>625</v>
      </c>
      <c r="C45" s="167" t="s">
        <v>94</v>
      </c>
      <c r="D45" s="25">
        <f t="shared" si="4"/>
        <v>200.02</v>
      </c>
      <c r="E45" s="25">
        <f t="shared" si="4"/>
        <v>200.02</v>
      </c>
      <c r="F45" s="25">
        <f t="shared" si="4"/>
        <v>200.02</v>
      </c>
      <c r="G45" s="25">
        <f t="shared" si="4"/>
        <v>200.02</v>
      </c>
      <c r="H45" s="25">
        <f t="shared" si="4"/>
        <v>200.02</v>
      </c>
      <c r="I45" s="25">
        <f t="shared" si="4"/>
        <v>200.02</v>
      </c>
    </row>
    <row r="46" spans="2:9">
      <c r="B46" s="188">
        <f>'28. Bill Impacts - Case 1'!B46</f>
        <v>650</v>
      </c>
      <c r="C46" s="167" t="s">
        <v>94</v>
      </c>
      <c r="D46" s="25">
        <f t="shared" si="4"/>
        <v>200.02</v>
      </c>
      <c r="E46" s="25">
        <f t="shared" si="4"/>
        <v>200.02</v>
      </c>
      <c r="F46" s="25">
        <f t="shared" si="4"/>
        <v>200.02</v>
      </c>
      <c r="G46" s="25">
        <f t="shared" si="4"/>
        <v>200.02</v>
      </c>
      <c r="H46" s="25">
        <f t="shared" si="4"/>
        <v>200.02</v>
      </c>
      <c r="I46" s="25">
        <f t="shared" si="4"/>
        <v>200.02</v>
      </c>
    </row>
    <row r="47" spans="2:9">
      <c r="B47" s="188">
        <f>'28. Bill Impacts - Case 1'!B47</f>
        <v>675</v>
      </c>
      <c r="C47" s="167" t="s">
        <v>94</v>
      </c>
      <c r="D47" s="25">
        <f t="shared" si="4"/>
        <v>200.02</v>
      </c>
      <c r="E47" s="25">
        <f t="shared" si="4"/>
        <v>200.02</v>
      </c>
      <c r="F47" s="25">
        <f t="shared" si="4"/>
        <v>200.02</v>
      </c>
      <c r="G47" s="25">
        <f t="shared" si="4"/>
        <v>200.02</v>
      </c>
      <c r="H47" s="25">
        <f t="shared" si="4"/>
        <v>200.02</v>
      </c>
      <c r="I47" s="25">
        <f t="shared" si="4"/>
        <v>200.02</v>
      </c>
    </row>
    <row r="48" spans="2:9">
      <c r="B48" s="188">
        <f>'28. Bill Impacts - Case 1'!B48</f>
        <v>700</v>
      </c>
      <c r="C48" s="167" t="s">
        <v>94</v>
      </c>
      <c r="D48" s="25">
        <f t="shared" si="4"/>
        <v>200.02</v>
      </c>
      <c r="E48" s="25">
        <f t="shared" si="4"/>
        <v>200.02</v>
      </c>
      <c r="F48" s="25">
        <f t="shared" si="4"/>
        <v>200.02</v>
      </c>
      <c r="G48" s="25">
        <f t="shared" si="4"/>
        <v>200.02</v>
      </c>
      <c r="H48" s="25">
        <f t="shared" si="4"/>
        <v>200.02</v>
      </c>
      <c r="I48" s="25">
        <f t="shared" si="4"/>
        <v>200.02</v>
      </c>
    </row>
    <row r="49" spans="2:9">
      <c r="B49" s="188">
        <f>'28. Bill Impacts - Case 1'!B49</f>
        <v>725</v>
      </c>
      <c r="C49" s="167" t="s">
        <v>94</v>
      </c>
      <c r="D49" s="25">
        <f t="shared" si="4"/>
        <v>200.02</v>
      </c>
      <c r="E49" s="25">
        <f t="shared" si="4"/>
        <v>200.02</v>
      </c>
      <c r="F49" s="25">
        <f t="shared" si="4"/>
        <v>200.02</v>
      </c>
      <c r="G49" s="25">
        <f t="shared" si="4"/>
        <v>200.02</v>
      </c>
      <c r="H49" s="25">
        <f t="shared" si="4"/>
        <v>200.02</v>
      </c>
      <c r="I49" s="25">
        <f t="shared" si="4"/>
        <v>200.02</v>
      </c>
    </row>
    <row r="50" spans="2:9">
      <c r="B50" s="188">
        <f>'28. Bill Impacts - Case 1'!B50</f>
        <v>750</v>
      </c>
      <c r="C50" s="167" t="s">
        <v>94</v>
      </c>
      <c r="D50" s="25">
        <f t="shared" ref="D50:I60" si="5">MIN($B50*D$13,(365/4)*D$9)+MIN($B50*D$14,(365/4)*D$9)+MIN($B50*D$15,(365/4)*D$9)+MIN($B50*D$16,(365/4)*D$9)</f>
        <v>200.02</v>
      </c>
      <c r="E50" s="25">
        <f t="shared" si="5"/>
        <v>200.02</v>
      </c>
      <c r="F50" s="25">
        <f t="shared" si="5"/>
        <v>200.02</v>
      </c>
      <c r="G50" s="25">
        <f t="shared" si="5"/>
        <v>200.02</v>
      </c>
      <c r="H50" s="25">
        <f t="shared" si="5"/>
        <v>200.02</v>
      </c>
      <c r="I50" s="25">
        <f t="shared" si="5"/>
        <v>200.02</v>
      </c>
    </row>
    <row r="51" spans="2:9">
      <c r="B51" s="188">
        <f>'28. Bill Impacts - Case 1'!B51</f>
        <v>775</v>
      </c>
      <c r="C51" s="167" t="s">
        <v>94</v>
      </c>
      <c r="D51" s="25">
        <f t="shared" si="5"/>
        <v>200.02</v>
      </c>
      <c r="E51" s="25">
        <f t="shared" si="5"/>
        <v>200.02</v>
      </c>
      <c r="F51" s="25">
        <f t="shared" si="5"/>
        <v>200.02</v>
      </c>
      <c r="G51" s="25">
        <f t="shared" si="5"/>
        <v>200.02</v>
      </c>
      <c r="H51" s="25">
        <f t="shared" si="5"/>
        <v>200.02</v>
      </c>
      <c r="I51" s="25">
        <f t="shared" si="5"/>
        <v>200.02</v>
      </c>
    </row>
    <row r="52" spans="2:9">
      <c r="B52" s="188">
        <f>'28. Bill Impacts - Case 1'!B52</f>
        <v>800</v>
      </c>
      <c r="C52" s="167" t="s">
        <v>94</v>
      </c>
      <c r="D52" s="25">
        <f t="shared" si="5"/>
        <v>200.02</v>
      </c>
      <c r="E52" s="25">
        <f t="shared" si="5"/>
        <v>200.02</v>
      </c>
      <c r="F52" s="25">
        <f t="shared" si="5"/>
        <v>200.02</v>
      </c>
      <c r="G52" s="25">
        <f t="shared" si="5"/>
        <v>200.02</v>
      </c>
      <c r="H52" s="25">
        <f t="shared" si="5"/>
        <v>200.02</v>
      </c>
      <c r="I52" s="25">
        <f t="shared" si="5"/>
        <v>200.02</v>
      </c>
    </row>
    <row r="53" spans="2:9">
      <c r="B53" s="188">
        <f>'28. Bill Impacts - Case 1'!B53</f>
        <v>825</v>
      </c>
      <c r="C53" s="167" t="s">
        <v>94</v>
      </c>
      <c r="D53" s="25">
        <f t="shared" si="5"/>
        <v>200.02</v>
      </c>
      <c r="E53" s="25">
        <f t="shared" si="5"/>
        <v>200.02</v>
      </c>
      <c r="F53" s="25">
        <f t="shared" si="5"/>
        <v>200.02</v>
      </c>
      <c r="G53" s="25">
        <f t="shared" si="5"/>
        <v>200.02</v>
      </c>
      <c r="H53" s="25">
        <f t="shared" si="5"/>
        <v>200.02</v>
      </c>
      <c r="I53" s="25">
        <f t="shared" si="5"/>
        <v>200.02</v>
      </c>
    </row>
    <row r="54" spans="2:9">
      <c r="B54" s="188">
        <f>'28. Bill Impacts - Case 1'!B54</f>
        <v>850</v>
      </c>
      <c r="C54" s="167" t="s">
        <v>94</v>
      </c>
      <c r="D54" s="25">
        <f t="shared" si="5"/>
        <v>200.02</v>
      </c>
      <c r="E54" s="25">
        <f t="shared" si="5"/>
        <v>200.02</v>
      </c>
      <c r="F54" s="25">
        <f t="shared" si="5"/>
        <v>200.02</v>
      </c>
      <c r="G54" s="25">
        <f t="shared" si="5"/>
        <v>200.02</v>
      </c>
      <c r="H54" s="25">
        <f t="shared" si="5"/>
        <v>200.02</v>
      </c>
      <c r="I54" s="25">
        <f t="shared" si="5"/>
        <v>200.02</v>
      </c>
    </row>
    <row r="55" spans="2:9">
      <c r="B55" s="188">
        <f>'28. Bill Impacts - Case 1'!B55</f>
        <v>875</v>
      </c>
      <c r="C55" s="167" t="s">
        <v>94</v>
      </c>
      <c r="D55" s="25">
        <f t="shared" si="5"/>
        <v>200.02</v>
      </c>
      <c r="E55" s="25">
        <f t="shared" si="5"/>
        <v>200.02</v>
      </c>
      <c r="F55" s="25">
        <f t="shared" si="5"/>
        <v>200.02</v>
      </c>
      <c r="G55" s="25">
        <f t="shared" si="5"/>
        <v>200.02</v>
      </c>
      <c r="H55" s="25">
        <f t="shared" si="5"/>
        <v>200.02</v>
      </c>
      <c r="I55" s="25">
        <f t="shared" si="5"/>
        <v>200.02</v>
      </c>
    </row>
    <row r="56" spans="2:9">
      <c r="B56" s="188">
        <f>'28. Bill Impacts - Case 1'!B56</f>
        <v>900</v>
      </c>
      <c r="C56" s="167" t="s">
        <v>94</v>
      </c>
      <c r="D56" s="25">
        <f t="shared" si="5"/>
        <v>200.02</v>
      </c>
      <c r="E56" s="25">
        <f t="shared" si="5"/>
        <v>200.02</v>
      </c>
      <c r="F56" s="25">
        <f t="shared" si="5"/>
        <v>200.02</v>
      </c>
      <c r="G56" s="25">
        <f t="shared" si="5"/>
        <v>200.02</v>
      </c>
      <c r="H56" s="25">
        <f t="shared" si="5"/>
        <v>200.02</v>
      </c>
      <c r="I56" s="25">
        <f t="shared" si="5"/>
        <v>200.02</v>
      </c>
    </row>
    <row r="57" spans="2:9">
      <c r="B57" s="188">
        <f>'28. Bill Impacts - Case 1'!B57</f>
        <v>1000</v>
      </c>
      <c r="C57" s="167" t="s">
        <v>94</v>
      </c>
      <c r="D57" s="25">
        <f t="shared" si="5"/>
        <v>200.02</v>
      </c>
      <c r="E57" s="25">
        <f t="shared" si="5"/>
        <v>200.02</v>
      </c>
      <c r="F57" s="25">
        <f t="shared" si="5"/>
        <v>200.02</v>
      </c>
      <c r="G57" s="25">
        <f t="shared" si="5"/>
        <v>200.02</v>
      </c>
      <c r="H57" s="25">
        <f t="shared" si="5"/>
        <v>200.02</v>
      </c>
      <c r="I57" s="25">
        <f t="shared" si="5"/>
        <v>200.02</v>
      </c>
    </row>
    <row r="58" spans="2:9">
      <c r="B58" s="188">
        <f>'28. Bill Impacts - Case 1'!B58</f>
        <v>2000</v>
      </c>
      <c r="C58" s="167" t="s">
        <v>94</v>
      </c>
      <c r="D58" s="25">
        <f t="shared" si="5"/>
        <v>200.02</v>
      </c>
      <c r="E58" s="25">
        <f t="shared" si="5"/>
        <v>200.02</v>
      </c>
      <c r="F58" s="25">
        <f t="shared" si="5"/>
        <v>200.02</v>
      </c>
      <c r="G58" s="25">
        <f t="shared" si="5"/>
        <v>200.02</v>
      </c>
      <c r="H58" s="25">
        <f t="shared" si="5"/>
        <v>200.02</v>
      </c>
      <c r="I58" s="25">
        <f t="shared" si="5"/>
        <v>200.02</v>
      </c>
    </row>
    <row r="59" spans="2:9">
      <c r="B59" s="188">
        <f>'28. Bill Impacts - Case 1'!B59</f>
        <v>5000</v>
      </c>
      <c r="C59" s="167" t="s">
        <v>94</v>
      </c>
      <c r="D59" s="25">
        <f t="shared" si="5"/>
        <v>200.02</v>
      </c>
      <c r="E59" s="25">
        <f t="shared" si="5"/>
        <v>200.02</v>
      </c>
      <c r="F59" s="25">
        <f t="shared" si="5"/>
        <v>200.02</v>
      </c>
      <c r="G59" s="25">
        <f t="shared" si="5"/>
        <v>200.02</v>
      </c>
      <c r="H59" s="25">
        <f t="shared" si="5"/>
        <v>200.02</v>
      </c>
      <c r="I59" s="25">
        <f t="shared" si="5"/>
        <v>200.02</v>
      </c>
    </row>
    <row r="60" spans="2:9">
      <c r="B60" s="188">
        <f>'28. Bill Impacts - Case 1'!B60</f>
        <v>10000</v>
      </c>
      <c r="C60" s="167" t="s">
        <v>94</v>
      </c>
      <c r="D60" s="25">
        <f t="shared" si="5"/>
        <v>200.02</v>
      </c>
      <c r="E60" s="25">
        <f t="shared" si="5"/>
        <v>200.02</v>
      </c>
      <c r="F60" s="25">
        <f t="shared" si="5"/>
        <v>200.02</v>
      </c>
      <c r="G60" s="25">
        <f t="shared" si="5"/>
        <v>200.02</v>
      </c>
      <c r="H60" s="25">
        <f t="shared" si="5"/>
        <v>200.02</v>
      </c>
      <c r="I60" s="25">
        <f t="shared" si="5"/>
        <v>200.02</v>
      </c>
    </row>
    <row r="61" spans="2:9">
      <c r="C61" s="167"/>
      <c r="D61" s="25"/>
      <c r="E61" s="25"/>
      <c r="F61" s="25"/>
      <c r="G61" s="25"/>
      <c r="H61" s="25"/>
      <c r="I61" s="25"/>
    </row>
    <row r="62" spans="2:9" ht="15.75">
      <c r="B62" s="10" t="s">
        <v>151</v>
      </c>
      <c r="C62" s="167"/>
      <c r="D62" s="25"/>
      <c r="E62" s="25"/>
      <c r="F62" s="25"/>
      <c r="G62" s="25"/>
      <c r="H62" s="25"/>
      <c r="I62" s="25"/>
    </row>
    <row r="63" spans="2:9">
      <c r="B63" s="188">
        <f>B20</f>
        <v>0</v>
      </c>
      <c r="C63" s="167" t="s">
        <v>160</v>
      </c>
      <c r="D63" s="25">
        <f t="shared" ref="D63:I72" si="6">D$6+D$10+D$7*D20+D$8*($B63-D20)</f>
        <v>700.48</v>
      </c>
      <c r="E63" s="25">
        <f t="shared" si="6"/>
        <v>592.02</v>
      </c>
      <c r="F63" s="25">
        <f t="shared" si="6"/>
        <v>607.97</v>
      </c>
      <c r="G63" s="25">
        <f t="shared" si="6"/>
        <v>629.69773699445784</v>
      </c>
      <c r="H63" s="25">
        <f t="shared" si="6"/>
        <v>645.44018041931929</v>
      </c>
      <c r="I63" s="25">
        <f t="shared" si="6"/>
        <v>661.57618492980225</v>
      </c>
    </row>
    <row r="64" spans="2:9">
      <c r="B64" s="188">
        <f t="shared" ref="B64:B103" si="7">B21</f>
        <v>25</v>
      </c>
      <c r="C64" s="167" t="s">
        <v>160</v>
      </c>
      <c r="D64" s="25">
        <f t="shared" si="6"/>
        <v>761.23</v>
      </c>
      <c r="E64" s="25">
        <f t="shared" si="6"/>
        <v>655.77</v>
      </c>
      <c r="F64" s="25">
        <f t="shared" si="6"/>
        <v>673.97</v>
      </c>
      <c r="G64" s="25">
        <f t="shared" si="6"/>
        <v>693.6231148762198</v>
      </c>
      <c r="H64" s="25">
        <f t="shared" si="6"/>
        <v>710.96369274812525</v>
      </c>
      <c r="I64" s="25">
        <f t="shared" si="6"/>
        <v>728.73778506682834</v>
      </c>
    </row>
    <row r="65" spans="2:9">
      <c r="B65" s="188">
        <f t="shared" si="7"/>
        <v>50</v>
      </c>
      <c r="C65" s="167" t="s">
        <v>160</v>
      </c>
      <c r="D65" s="25">
        <f t="shared" si="6"/>
        <v>821.98</v>
      </c>
      <c r="E65" s="25">
        <f t="shared" si="6"/>
        <v>719.52</v>
      </c>
      <c r="F65" s="25">
        <f t="shared" si="6"/>
        <v>739.97</v>
      </c>
      <c r="G65" s="25">
        <f t="shared" si="6"/>
        <v>757.54849275798165</v>
      </c>
      <c r="H65" s="25">
        <f t="shared" si="6"/>
        <v>776.48720507693122</v>
      </c>
      <c r="I65" s="25">
        <f t="shared" si="6"/>
        <v>795.89938520385454</v>
      </c>
    </row>
    <row r="66" spans="2:9">
      <c r="B66" s="188">
        <f t="shared" si="7"/>
        <v>75</v>
      </c>
      <c r="C66" s="167" t="s">
        <v>160</v>
      </c>
      <c r="D66" s="25">
        <f t="shared" si="6"/>
        <v>882.73</v>
      </c>
      <c r="E66" s="25">
        <f t="shared" si="6"/>
        <v>783.27</v>
      </c>
      <c r="F66" s="25">
        <f t="shared" si="6"/>
        <v>805.97</v>
      </c>
      <c r="G66" s="25">
        <f t="shared" si="6"/>
        <v>821.47387063974361</v>
      </c>
      <c r="H66" s="25">
        <f t="shared" si="6"/>
        <v>842.01071740573718</v>
      </c>
      <c r="I66" s="25">
        <f t="shared" si="6"/>
        <v>863.06098534088062</v>
      </c>
    </row>
    <row r="67" spans="2:9">
      <c r="B67" s="188">
        <f t="shared" si="7"/>
        <v>100</v>
      </c>
      <c r="C67" s="167" t="s">
        <v>160</v>
      </c>
      <c r="D67" s="25">
        <f t="shared" si="6"/>
        <v>943.48</v>
      </c>
      <c r="E67" s="25">
        <f t="shared" si="6"/>
        <v>847.02</v>
      </c>
      <c r="F67" s="25">
        <f t="shared" si="6"/>
        <v>871.97</v>
      </c>
      <c r="G67" s="25">
        <f t="shared" si="6"/>
        <v>885.39924852150557</v>
      </c>
      <c r="H67" s="25">
        <f t="shared" si="6"/>
        <v>907.53422973454315</v>
      </c>
      <c r="I67" s="25">
        <f t="shared" si="6"/>
        <v>930.2225854779067</v>
      </c>
    </row>
    <row r="68" spans="2:9">
      <c r="B68" s="188">
        <f t="shared" si="7"/>
        <v>125</v>
      </c>
      <c r="C68" s="167" t="s">
        <v>160</v>
      </c>
      <c r="D68" s="25">
        <f t="shared" si="6"/>
        <v>1004.23</v>
      </c>
      <c r="E68" s="25">
        <f t="shared" si="6"/>
        <v>910.77</v>
      </c>
      <c r="F68" s="25">
        <f t="shared" si="6"/>
        <v>937.97</v>
      </c>
      <c r="G68" s="25">
        <f t="shared" si="6"/>
        <v>949.32462640326753</v>
      </c>
      <c r="H68" s="25">
        <f t="shared" si="6"/>
        <v>973.05774206334911</v>
      </c>
      <c r="I68" s="25">
        <f t="shared" si="6"/>
        <v>997.38418561493279</v>
      </c>
    </row>
    <row r="69" spans="2:9">
      <c r="B69" s="188">
        <f t="shared" si="7"/>
        <v>150</v>
      </c>
      <c r="C69" s="167" t="s">
        <v>160</v>
      </c>
      <c r="D69" s="25">
        <f t="shared" si="6"/>
        <v>1064.98</v>
      </c>
      <c r="E69" s="25">
        <f t="shared" si="6"/>
        <v>974.52</v>
      </c>
      <c r="F69" s="25">
        <f t="shared" si="6"/>
        <v>1003.97</v>
      </c>
      <c r="G69" s="25">
        <f t="shared" si="6"/>
        <v>1013.2500042850294</v>
      </c>
      <c r="H69" s="25">
        <f t="shared" si="6"/>
        <v>1038.5812543921552</v>
      </c>
      <c r="I69" s="25">
        <f t="shared" si="6"/>
        <v>1064.5457857519589</v>
      </c>
    </row>
    <row r="70" spans="2:9">
      <c r="B70" s="188">
        <f t="shared" si="7"/>
        <v>175</v>
      </c>
      <c r="C70" s="167" t="s">
        <v>160</v>
      </c>
      <c r="D70" s="25">
        <f t="shared" si="6"/>
        <v>1128.8081761673229</v>
      </c>
      <c r="E70" s="25">
        <f t="shared" si="6"/>
        <v>1041.5001848669438</v>
      </c>
      <c r="F70" s="25">
        <f t="shared" si="6"/>
        <v>1073.3268587832945</v>
      </c>
      <c r="G70" s="25">
        <f t="shared" si="6"/>
        <v>1080.426722564031</v>
      </c>
      <c r="H70" s="25">
        <f t="shared" si="6"/>
        <v>1107.4373906281317</v>
      </c>
      <c r="I70" s="25">
        <f t="shared" si="6"/>
        <v>1135.1233253938349</v>
      </c>
    </row>
    <row r="71" spans="2:9">
      <c r="B71" s="188">
        <f t="shared" si="7"/>
        <v>200</v>
      </c>
      <c r="C71" s="167" t="s">
        <v>160</v>
      </c>
      <c r="D71" s="25">
        <f t="shared" si="6"/>
        <v>1208.8380514217909</v>
      </c>
      <c r="E71" s="25">
        <f t="shared" si="6"/>
        <v>1125.4821527265706</v>
      </c>
      <c r="F71" s="25">
        <f t="shared" si="6"/>
        <v>1160.3522371472204</v>
      </c>
      <c r="G71" s="25">
        <f t="shared" si="6"/>
        <v>1164.7165740370199</v>
      </c>
      <c r="H71" s="25">
        <f t="shared" si="6"/>
        <v>1193.8344883879454</v>
      </c>
      <c r="I71" s="25">
        <f t="shared" si="6"/>
        <v>1223.6803505976438</v>
      </c>
    </row>
    <row r="72" spans="2:9">
      <c r="B72" s="188">
        <f t="shared" si="7"/>
        <v>225</v>
      </c>
      <c r="C72" s="167" t="s">
        <v>160</v>
      </c>
      <c r="D72" s="25">
        <f t="shared" si="6"/>
        <v>1311.2370154173427</v>
      </c>
      <c r="E72" s="25">
        <f t="shared" si="6"/>
        <v>1232.9378556848658</v>
      </c>
      <c r="F72" s="25">
        <f t="shared" si="6"/>
        <v>1271.7718892411353</v>
      </c>
      <c r="G72" s="25">
        <f t="shared" si="6"/>
        <v>1272.6338977272917</v>
      </c>
      <c r="H72" s="25">
        <f t="shared" si="6"/>
        <v>1304.449745170474</v>
      </c>
      <c r="I72" s="25">
        <f t="shared" si="6"/>
        <v>1337.0609887997357</v>
      </c>
    </row>
    <row r="73" spans="2:9">
      <c r="B73" s="188">
        <f t="shared" si="7"/>
        <v>250</v>
      </c>
      <c r="C73" s="167" t="s">
        <v>160</v>
      </c>
      <c r="D73" s="25">
        <f t="shared" ref="D73:I82" si="8">D$6+D$10+D$7*D30+D$8*($B73-D30)</f>
        <v>1429.4313999999999</v>
      </c>
      <c r="E73" s="25">
        <f t="shared" si="8"/>
        <v>1356.9689999999998</v>
      </c>
      <c r="F73" s="25">
        <f t="shared" si="8"/>
        <v>1400.4170000000001</v>
      </c>
      <c r="G73" s="25">
        <f t="shared" si="8"/>
        <v>1397.2352207258002</v>
      </c>
      <c r="H73" s="25">
        <f t="shared" si="8"/>
        <v>1432.1661012439449</v>
      </c>
      <c r="I73" s="25">
        <f t="shared" si="8"/>
        <v>1467.9702537750436</v>
      </c>
    </row>
    <row r="74" spans="2:9">
      <c r="B74" s="188">
        <f t="shared" si="7"/>
        <v>275</v>
      </c>
      <c r="C74" s="167" t="s">
        <v>160</v>
      </c>
      <c r="D74" s="25">
        <f t="shared" si="8"/>
        <v>1550.9313999999999</v>
      </c>
      <c r="E74" s="25">
        <f t="shared" si="8"/>
        <v>1484.4689999999998</v>
      </c>
      <c r="F74" s="25">
        <f t="shared" si="8"/>
        <v>1532.6670000000001</v>
      </c>
      <c r="G74" s="25">
        <f t="shared" si="8"/>
        <v>1525.3281180722097</v>
      </c>
      <c r="H74" s="25">
        <f t="shared" si="8"/>
        <v>1563.4613210240145</v>
      </c>
      <c r="I74" s="25">
        <f t="shared" si="8"/>
        <v>1602.5478540496149</v>
      </c>
    </row>
    <row r="75" spans="2:9">
      <c r="B75" s="188">
        <f t="shared" si="7"/>
        <v>300</v>
      </c>
      <c r="C75" s="167" t="s">
        <v>160</v>
      </c>
      <c r="D75" s="25">
        <f t="shared" si="8"/>
        <v>1672.4313999999999</v>
      </c>
      <c r="E75" s="25">
        <f t="shared" si="8"/>
        <v>1611.9689999999998</v>
      </c>
      <c r="F75" s="25">
        <f t="shared" si="8"/>
        <v>1664.9170000000001</v>
      </c>
      <c r="G75" s="25">
        <f t="shared" si="8"/>
        <v>1653.4210154186189</v>
      </c>
      <c r="H75" s="25">
        <f t="shared" si="8"/>
        <v>1694.7565408040841</v>
      </c>
      <c r="I75" s="25">
        <f t="shared" si="8"/>
        <v>1737.1254543241862</v>
      </c>
    </row>
    <row r="76" spans="2:9">
      <c r="B76" s="188">
        <f t="shared" si="7"/>
        <v>325</v>
      </c>
      <c r="C76" s="167" t="s">
        <v>160</v>
      </c>
      <c r="D76" s="25">
        <f t="shared" si="8"/>
        <v>1793.9313999999999</v>
      </c>
      <c r="E76" s="25">
        <f t="shared" si="8"/>
        <v>1739.4689999999998</v>
      </c>
      <c r="F76" s="25">
        <f t="shared" si="8"/>
        <v>1797.1670000000001</v>
      </c>
      <c r="G76" s="25">
        <f t="shared" si="8"/>
        <v>1781.5139127650282</v>
      </c>
      <c r="H76" s="25">
        <f t="shared" si="8"/>
        <v>1826.0517605841537</v>
      </c>
      <c r="I76" s="25">
        <f t="shared" si="8"/>
        <v>1871.7030545987577</v>
      </c>
    </row>
    <row r="77" spans="2:9">
      <c r="B77" s="188">
        <f t="shared" si="7"/>
        <v>350</v>
      </c>
      <c r="C77" s="167" t="s">
        <v>160</v>
      </c>
      <c r="D77" s="25">
        <f t="shared" si="8"/>
        <v>1915.4313999999999</v>
      </c>
      <c r="E77" s="25">
        <f t="shared" si="8"/>
        <v>1866.9689999999998</v>
      </c>
      <c r="F77" s="25">
        <f t="shared" si="8"/>
        <v>1929.4170000000001</v>
      </c>
      <c r="G77" s="25">
        <f t="shared" si="8"/>
        <v>1909.6068101114374</v>
      </c>
      <c r="H77" s="25">
        <f t="shared" si="8"/>
        <v>1957.3469803642233</v>
      </c>
      <c r="I77" s="25">
        <f t="shared" si="8"/>
        <v>2006.2806548733288</v>
      </c>
    </row>
    <row r="78" spans="2:9">
      <c r="B78" s="188">
        <f t="shared" si="7"/>
        <v>375</v>
      </c>
      <c r="C78" s="167" t="s">
        <v>160</v>
      </c>
      <c r="D78" s="25">
        <f t="shared" si="8"/>
        <v>2036.9313999999999</v>
      </c>
      <c r="E78" s="25">
        <f t="shared" si="8"/>
        <v>1994.4689999999998</v>
      </c>
      <c r="F78" s="25">
        <f t="shared" si="8"/>
        <v>2061.6670000000004</v>
      </c>
      <c r="G78" s="25">
        <f t="shared" si="8"/>
        <v>2037.6997074578467</v>
      </c>
      <c r="H78" s="25">
        <f t="shared" si="8"/>
        <v>2088.6422001442929</v>
      </c>
      <c r="I78" s="25">
        <f t="shared" si="8"/>
        <v>2140.8582551479003</v>
      </c>
    </row>
    <row r="79" spans="2:9">
      <c r="B79" s="188">
        <f t="shared" si="7"/>
        <v>400</v>
      </c>
      <c r="C79" s="167" t="s">
        <v>160</v>
      </c>
      <c r="D79" s="25">
        <f t="shared" si="8"/>
        <v>2158.4314000000004</v>
      </c>
      <c r="E79" s="25">
        <f t="shared" si="8"/>
        <v>2121.9690000000001</v>
      </c>
      <c r="F79" s="25">
        <f t="shared" si="8"/>
        <v>2193.9170000000004</v>
      </c>
      <c r="G79" s="25">
        <f t="shared" si="8"/>
        <v>2165.7926048042564</v>
      </c>
      <c r="H79" s="25">
        <f t="shared" si="8"/>
        <v>2219.9374199243621</v>
      </c>
      <c r="I79" s="25">
        <f t="shared" si="8"/>
        <v>2275.4358554224714</v>
      </c>
    </row>
    <row r="80" spans="2:9">
      <c r="B80" s="188">
        <f t="shared" si="7"/>
        <v>425</v>
      </c>
      <c r="C80" s="167" t="s">
        <v>160</v>
      </c>
      <c r="D80" s="25">
        <f t="shared" si="8"/>
        <v>2279.9314000000004</v>
      </c>
      <c r="E80" s="25">
        <f t="shared" si="8"/>
        <v>2249.4690000000001</v>
      </c>
      <c r="F80" s="25">
        <f t="shared" si="8"/>
        <v>2326.1670000000004</v>
      </c>
      <c r="G80" s="25">
        <f t="shared" si="8"/>
        <v>2293.8855021506652</v>
      </c>
      <c r="H80" s="25">
        <f t="shared" si="8"/>
        <v>2351.2326397044317</v>
      </c>
      <c r="I80" s="25">
        <f t="shared" si="8"/>
        <v>2410.0134556970424</v>
      </c>
    </row>
    <row r="81" spans="2:9">
      <c r="B81" s="188">
        <f t="shared" si="7"/>
        <v>450</v>
      </c>
      <c r="C81" s="167" t="s">
        <v>160</v>
      </c>
      <c r="D81" s="25">
        <f t="shared" si="8"/>
        <v>2401.4314000000004</v>
      </c>
      <c r="E81" s="25">
        <f t="shared" si="8"/>
        <v>2376.9690000000001</v>
      </c>
      <c r="F81" s="25">
        <f t="shared" si="8"/>
        <v>2458.4170000000004</v>
      </c>
      <c r="G81" s="25">
        <f t="shared" si="8"/>
        <v>2421.9783994970749</v>
      </c>
      <c r="H81" s="25">
        <f t="shared" si="8"/>
        <v>2482.5278594845013</v>
      </c>
      <c r="I81" s="25">
        <f t="shared" si="8"/>
        <v>2544.591055971614</v>
      </c>
    </row>
    <row r="82" spans="2:9">
      <c r="B82" s="188">
        <f t="shared" si="7"/>
        <v>475</v>
      </c>
      <c r="C82" s="167" t="s">
        <v>160</v>
      </c>
      <c r="D82" s="25">
        <f t="shared" si="8"/>
        <v>2522.9314000000004</v>
      </c>
      <c r="E82" s="25">
        <f t="shared" si="8"/>
        <v>2504.4690000000001</v>
      </c>
      <c r="F82" s="25">
        <f t="shared" si="8"/>
        <v>2590.6670000000004</v>
      </c>
      <c r="G82" s="25">
        <f t="shared" si="8"/>
        <v>2550.0712968434846</v>
      </c>
      <c r="H82" s="25">
        <f t="shared" si="8"/>
        <v>2613.8230792645709</v>
      </c>
      <c r="I82" s="25">
        <f t="shared" si="8"/>
        <v>2679.1686562461855</v>
      </c>
    </row>
    <row r="83" spans="2:9">
      <c r="B83" s="188">
        <f t="shared" si="7"/>
        <v>500</v>
      </c>
      <c r="C83" s="167" t="s">
        <v>160</v>
      </c>
      <c r="D83" s="25">
        <f t="shared" ref="D83:I92" si="9">D$6+D$10+D$7*D40+D$8*($B83-D40)</f>
        <v>2644.4314000000004</v>
      </c>
      <c r="E83" s="25">
        <f t="shared" si="9"/>
        <v>2631.9690000000001</v>
      </c>
      <c r="F83" s="25">
        <f t="shared" si="9"/>
        <v>2722.9170000000004</v>
      </c>
      <c r="G83" s="25">
        <f t="shared" si="9"/>
        <v>2678.1641941898934</v>
      </c>
      <c r="H83" s="25">
        <f t="shared" si="9"/>
        <v>2745.1182990446405</v>
      </c>
      <c r="I83" s="25">
        <f t="shared" si="9"/>
        <v>2813.746256520757</v>
      </c>
    </row>
    <row r="84" spans="2:9">
      <c r="B84" s="188">
        <f t="shared" si="7"/>
        <v>525</v>
      </c>
      <c r="C84" s="167" t="s">
        <v>160</v>
      </c>
      <c r="D84" s="25">
        <f t="shared" si="9"/>
        <v>2765.9314000000004</v>
      </c>
      <c r="E84" s="25">
        <f t="shared" si="9"/>
        <v>2759.4690000000001</v>
      </c>
      <c r="F84" s="25">
        <f t="shared" si="9"/>
        <v>2855.1670000000004</v>
      </c>
      <c r="G84" s="25">
        <f t="shared" si="9"/>
        <v>2806.2570915363031</v>
      </c>
      <c r="H84" s="25">
        <f t="shared" si="9"/>
        <v>2876.4135188247101</v>
      </c>
      <c r="I84" s="25">
        <f t="shared" si="9"/>
        <v>2948.3238567953281</v>
      </c>
    </row>
    <row r="85" spans="2:9">
      <c r="B85" s="188">
        <f t="shared" si="7"/>
        <v>550</v>
      </c>
      <c r="C85" s="167" t="s">
        <v>160</v>
      </c>
      <c r="D85" s="25">
        <f t="shared" si="9"/>
        <v>2887.4314000000004</v>
      </c>
      <c r="E85" s="25">
        <f t="shared" si="9"/>
        <v>2886.9690000000001</v>
      </c>
      <c r="F85" s="25">
        <f t="shared" si="9"/>
        <v>2987.4170000000004</v>
      </c>
      <c r="G85" s="25">
        <f t="shared" si="9"/>
        <v>2934.3499888827123</v>
      </c>
      <c r="H85" s="25">
        <f t="shared" si="9"/>
        <v>3007.7087386047797</v>
      </c>
      <c r="I85" s="25">
        <f t="shared" si="9"/>
        <v>3082.9014570698992</v>
      </c>
    </row>
    <row r="86" spans="2:9">
      <c r="B86" s="188">
        <f t="shared" si="7"/>
        <v>575</v>
      </c>
      <c r="C86" s="167" t="s">
        <v>160</v>
      </c>
      <c r="D86" s="25">
        <f t="shared" si="9"/>
        <v>3008.9314000000004</v>
      </c>
      <c r="E86" s="25">
        <f t="shared" si="9"/>
        <v>3014.4690000000001</v>
      </c>
      <c r="F86" s="25">
        <f t="shared" si="9"/>
        <v>3119.6670000000004</v>
      </c>
      <c r="G86" s="25">
        <f t="shared" si="9"/>
        <v>3062.4428862291215</v>
      </c>
      <c r="H86" s="25">
        <f t="shared" si="9"/>
        <v>3139.0039583848493</v>
      </c>
      <c r="I86" s="25">
        <f t="shared" si="9"/>
        <v>3217.4790573444707</v>
      </c>
    </row>
    <row r="87" spans="2:9">
      <c r="B87" s="188">
        <f t="shared" si="7"/>
        <v>600</v>
      </c>
      <c r="C87" s="167" t="s">
        <v>160</v>
      </c>
      <c r="D87" s="25">
        <f t="shared" si="9"/>
        <v>3130.4314000000004</v>
      </c>
      <c r="E87" s="25">
        <f t="shared" si="9"/>
        <v>3141.9690000000001</v>
      </c>
      <c r="F87" s="25">
        <f t="shared" si="9"/>
        <v>3251.9170000000004</v>
      </c>
      <c r="G87" s="25">
        <f t="shared" si="9"/>
        <v>3190.5357835755308</v>
      </c>
      <c r="H87" s="25">
        <f t="shared" si="9"/>
        <v>3270.2991781649189</v>
      </c>
      <c r="I87" s="25">
        <f t="shared" si="9"/>
        <v>3352.0566576190422</v>
      </c>
    </row>
    <row r="88" spans="2:9">
      <c r="B88" s="188">
        <f t="shared" si="7"/>
        <v>625</v>
      </c>
      <c r="C88" s="167" t="s">
        <v>160</v>
      </c>
      <c r="D88" s="25">
        <f t="shared" si="9"/>
        <v>3251.9314000000004</v>
      </c>
      <c r="E88" s="25">
        <f t="shared" si="9"/>
        <v>3269.4690000000001</v>
      </c>
      <c r="F88" s="25">
        <f t="shared" si="9"/>
        <v>3384.1670000000004</v>
      </c>
      <c r="G88" s="25">
        <f t="shared" si="9"/>
        <v>3318.62868092194</v>
      </c>
      <c r="H88" s="25">
        <f t="shared" si="9"/>
        <v>3401.5943979449885</v>
      </c>
      <c r="I88" s="25">
        <f t="shared" si="9"/>
        <v>3486.6342578936128</v>
      </c>
    </row>
    <row r="89" spans="2:9">
      <c r="B89" s="188">
        <f t="shared" si="7"/>
        <v>650</v>
      </c>
      <c r="C89" s="167" t="s">
        <v>160</v>
      </c>
      <c r="D89" s="25">
        <f t="shared" si="9"/>
        <v>3373.4314000000004</v>
      </c>
      <c r="E89" s="25">
        <f t="shared" si="9"/>
        <v>3396.9690000000001</v>
      </c>
      <c r="F89" s="25">
        <f t="shared" si="9"/>
        <v>3516.4170000000004</v>
      </c>
      <c r="G89" s="25">
        <f t="shared" si="9"/>
        <v>3446.7215782683493</v>
      </c>
      <c r="H89" s="25">
        <f t="shared" si="9"/>
        <v>3532.8896177250581</v>
      </c>
      <c r="I89" s="25">
        <f t="shared" si="9"/>
        <v>3621.2118581681843</v>
      </c>
    </row>
    <row r="90" spans="2:9">
      <c r="B90" s="188">
        <f t="shared" si="7"/>
        <v>675</v>
      </c>
      <c r="C90" s="167" t="s">
        <v>160</v>
      </c>
      <c r="D90" s="25">
        <f t="shared" si="9"/>
        <v>3494.9314000000004</v>
      </c>
      <c r="E90" s="25">
        <f t="shared" si="9"/>
        <v>3524.4690000000001</v>
      </c>
      <c r="F90" s="25">
        <f t="shared" si="9"/>
        <v>3648.6670000000004</v>
      </c>
      <c r="G90" s="25">
        <f t="shared" si="9"/>
        <v>3574.814475614759</v>
      </c>
      <c r="H90" s="25">
        <f t="shared" si="9"/>
        <v>3664.1848375051277</v>
      </c>
      <c r="I90" s="25">
        <f t="shared" si="9"/>
        <v>3755.7894584427559</v>
      </c>
    </row>
    <row r="91" spans="2:9">
      <c r="B91" s="188">
        <f t="shared" si="7"/>
        <v>700</v>
      </c>
      <c r="C91" s="167" t="s">
        <v>160</v>
      </c>
      <c r="D91" s="25">
        <f t="shared" si="9"/>
        <v>3616.4314000000004</v>
      </c>
      <c r="E91" s="25">
        <f t="shared" si="9"/>
        <v>3651.9690000000001</v>
      </c>
      <c r="F91" s="25">
        <f t="shared" si="9"/>
        <v>3780.9170000000004</v>
      </c>
      <c r="G91" s="25">
        <f t="shared" si="9"/>
        <v>3702.9073729611682</v>
      </c>
      <c r="H91" s="25">
        <f t="shared" si="9"/>
        <v>3795.4800572851973</v>
      </c>
      <c r="I91" s="25">
        <f t="shared" si="9"/>
        <v>3890.3670587173274</v>
      </c>
    </row>
    <row r="92" spans="2:9">
      <c r="B92" s="188">
        <f t="shared" si="7"/>
        <v>725</v>
      </c>
      <c r="C92" s="167" t="s">
        <v>160</v>
      </c>
      <c r="D92" s="25">
        <f t="shared" si="9"/>
        <v>3737.9314000000004</v>
      </c>
      <c r="E92" s="25">
        <f t="shared" si="9"/>
        <v>3779.4689999999996</v>
      </c>
      <c r="F92" s="25">
        <f t="shared" si="9"/>
        <v>3913.1670000000004</v>
      </c>
      <c r="G92" s="25">
        <f t="shared" si="9"/>
        <v>3831.0002703075775</v>
      </c>
      <c r="H92" s="25">
        <f t="shared" si="9"/>
        <v>3926.7752770652664</v>
      </c>
      <c r="I92" s="25">
        <f t="shared" si="9"/>
        <v>4024.944658991898</v>
      </c>
    </row>
    <row r="93" spans="2:9">
      <c r="B93" s="188">
        <f t="shared" si="7"/>
        <v>750</v>
      </c>
      <c r="C93" s="167" t="s">
        <v>160</v>
      </c>
      <c r="D93" s="25">
        <f t="shared" ref="D93:I102" si="10">D$6+D$10+D$7*D50+D$8*($B93-D50)</f>
        <v>3859.4314000000004</v>
      </c>
      <c r="E93" s="25">
        <f t="shared" si="10"/>
        <v>3906.9689999999996</v>
      </c>
      <c r="F93" s="25">
        <f t="shared" si="10"/>
        <v>4045.4170000000004</v>
      </c>
      <c r="G93" s="25">
        <f t="shared" si="10"/>
        <v>3959.0931676539867</v>
      </c>
      <c r="H93" s="25">
        <f t="shared" si="10"/>
        <v>4058.070496845336</v>
      </c>
      <c r="I93" s="25">
        <f t="shared" si="10"/>
        <v>4159.5222592664695</v>
      </c>
    </row>
    <row r="94" spans="2:9">
      <c r="B94" s="188">
        <f t="shared" si="7"/>
        <v>775</v>
      </c>
      <c r="C94" s="167" t="s">
        <v>160</v>
      </c>
      <c r="D94" s="25">
        <f t="shared" si="10"/>
        <v>3980.9314000000004</v>
      </c>
      <c r="E94" s="25">
        <f t="shared" si="10"/>
        <v>4034.4689999999996</v>
      </c>
      <c r="F94" s="25">
        <f t="shared" si="10"/>
        <v>4177.6670000000004</v>
      </c>
      <c r="G94" s="25">
        <f t="shared" si="10"/>
        <v>4087.186065000396</v>
      </c>
      <c r="H94" s="25">
        <f t="shared" si="10"/>
        <v>4189.3657166254052</v>
      </c>
      <c r="I94" s="25">
        <f t="shared" si="10"/>
        <v>4294.099859541041</v>
      </c>
    </row>
    <row r="95" spans="2:9">
      <c r="B95" s="188">
        <f t="shared" si="7"/>
        <v>800</v>
      </c>
      <c r="C95" s="167" t="s">
        <v>160</v>
      </c>
      <c r="D95" s="25">
        <f t="shared" si="10"/>
        <v>4102.4314000000004</v>
      </c>
      <c r="E95" s="25">
        <f t="shared" si="10"/>
        <v>4161.9689999999991</v>
      </c>
      <c r="F95" s="25">
        <f t="shared" si="10"/>
        <v>4309.9170000000004</v>
      </c>
      <c r="G95" s="25">
        <f t="shared" si="10"/>
        <v>4215.2789623468052</v>
      </c>
      <c r="H95" s="25">
        <f t="shared" si="10"/>
        <v>4320.6609364054748</v>
      </c>
      <c r="I95" s="25">
        <f t="shared" si="10"/>
        <v>4428.6774598156126</v>
      </c>
    </row>
    <row r="96" spans="2:9">
      <c r="B96" s="188">
        <f t="shared" si="7"/>
        <v>825</v>
      </c>
      <c r="C96" s="167" t="s">
        <v>160</v>
      </c>
      <c r="D96" s="25">
        <f t="shared" si="10"/>
        <v>4223.9314000000004</v>
      </c>
      <c r="E96" s="25">
        <f t="shared" si="10"/>
        <v>4289.4689999999991</v>
      </c>
      <c r="F96" s="25">
        <f t="shared" si="10"/>
        <v>4442.1670000000004</v>
      </c>
      <c r="G96" s="25">
        <f t="shared" si="10"/>
        <v>4343.3718596932149</v>
      </c>
      <c r="H96" s="25">
        <f t="shared" si="10"/>
        <v>4451.9561561855444</v>
      </c>
      <c r="I96" s="25">
        <f t="shared" si="10"/>
        <v>4563.2550600901832</v>
      </c>
    </row>
    <row r="97" spans="2:9">
      <c r="B97" s="188">
        <f t="shared" si="7"/>
        <v>850</v>
      </c>
      <c r="C97" s="167" t="s">
        <v>160</v>
      </c>
      <c r="D97" s="25">
        <f t="shared" si="10"/>
        <v>4345.4314000000004</v>
      </c>
      <c r="E97" s="25">
        <f t="shared" si="10"/>
        <v>4416.9689999999991</v>
      </c>
      <c r="F97" s="25">
        <f t="shared" si="10"/>
        <v>4574.4170000000004</v>
      </c>
      <c r="G97" s="25">
        <f t="shared" si="10"/>
        <v>4471.4647570396246</v>
      </c>
      <c r="H97" s="25">
        <f t="shared" si="10"/>
        <v>4583.251375965614</v>
      </c>
      <c r="I97" s="25">
        <f t="shared" si="10"/>
        <v>4697.8326603647547</v>
      </c>
    </row>
    <row r="98" spans="2:9">
      <c r="B98" s="188">
        <f t="shared" si="7"/>
        <v>875</v>
      </c>
      <c r="C98" s="167" t="s">
        <v>160</v>
      </c>
      <c r="D98" s="25">
        <f t="shared" si="10"/>
        <v>4466.9314000000004</v>
      </c>
      <c r="E98" s="25">
        <f t="shared" si="10"/>
        <v>4544.4689999999991</v>
      </c>
      <c r="F98" s="25">
        <f t="shared" si="10"/>
        <v>4706.6670000000004</v>
      </c>
      <c r="G98" s="25">
        <f t="shared" si="10"/>
        <v>4599.5576543860334</v>
      </c>
      <c r="H98" s="25">
        <f t="shared" si="10"/>
        <v>4714.5465957456836</v>
      </c>
      <c r="I98" s="25">
        <f t="shared" si="10"/>
        <v>4832.4102606393262</v>
      </c>
    </row>
    <row r="99" spans="2:9">
      <c r="B99" s="188">
        <f t="shared" si="7"/>
        <v>900</v>
      </c>
      <c r="C99" s="167" t="s">
        <v>160</v>
      </c>
      <c r="D99" s="25">
        <f t="shared" si="10"/>
        <v>4588.4314000000004</v>
      </c>
      <c r="E99" s="25">
        <f t="shared" si="10"/>
        <v>4671.9689999999991</v>
      </c>
      <c r="F99" s="25">
        <f t="shared" si="10"/>
        <v>4838.9170000000004</v>
      </c>
      <c r="G99" s="25">
        <f t="shared" si="10"/>
        <v>4727.6505517324422</v>
      </c>
      <c r="H99" s="25">
        <f t="shared" si="10"/>
        <v>4845.8418155257532</v>
      </c>
      <c r="I99" s="25">
        <f t="shared" si="10"/>
        <v>4966.9878609138968</v>
      </c>
    </row>
    <row r="100" spans="2:9">
      <c r="B100" s="188">
        <f t="shared" si="7"/>
        <v>1000</v>
      </c>
      <c r="C100" s="167" t="s">
        <v>160</v>
      </c>
      <c r="D100" s="25">
        <f t="shared" si="10"/>
        <v>5074.4314000000004</v>
      </c>
      <c r="E100" s="25">
        <f t="shared" si="10"/>
        <v>5181.9689999999991</v>
      </c>
      <c r="F100" s="25">
        <f t="shared" si="10"/>
        <v>5367.9169999999995</v>
      </c>
      <c r="G100" s="25">
        <f t="shared" si="10"/>
        <v>5240.0221411180792</v>
      </c>
      <c r="H100" s="25">
        <f t="shared" si="10"/>
        <v>5371.0226946460316</v>
      </c>
      <c r="I100" s="25">
        <f t="shared" si="10"/>
        <v>5505.2982620121829</v>
      </c>
    </row>
    <row r="101" spans="2:9">
      <c r="B101" s="188">
        <f t="shared" si="7"/>
        <v>2000</v>
      </c>
      <c r="C101" s="167" t="s">
        <v>160</v>
      </c>
      <c r="D101" s="25">
        <f t="shared" si="10"/>
        <v>9934.4313999999995</v>
      </c>
      <c r="E101" s="25">
        <f t="shared" si="10"/>
        <v>10281.968999999999</v>
      </c>
      <c r="F101" s="25">
        <f t="shared" si="10"/>
        <v>10657.917000000001</v>
      </c>
      <c r="G101" s="25">
        <f t="shared" si="10"/>
        <v>10363.738034974453</v>
      </c>
      <c r="H101" s="25">
        <f t="shared" si="10"/>
        <v>10622.831485848814</v>
      </c>
      <c r="I101" s="25">
        <f t="shared" si="10"/>
        <v>10888.402272995034</v>
      </c>
    </row>
    <row r="102" spans="2:9">
      <c r="B102" s="188">
        <f t="shared" si="7"/>
        <v>5000</v>
      </c>
      <c r="C102" s="167" t="s">
        <v>160</v>
      </c>
      <c r="D102" s="25">
        <f t="shared" si="10"/>
        <v>24514.431400000001</v>
      </c>
      <c r="E102" s="25">
        <f t="shared" si="10"/>
        <v>25581.968999999997</v>
      </c>
      <c r="F102" s="25">
        <f t="shared" si="10"/>
        <v>26527.916999999998</v>
      </c>
      <c r="G102" s="25">
        <f t="shared" si="10"/>
        <v>25734.885716543569</v>
      </c>
      <c r="H102" s="25">
        <f t="shared" si="10"/>
        <v>26378.257859457157</v>
      </c>
      <c r="I102" s="25">
        <f t="shared" si="10"/>
        <v>27037.714305943588</v>
      </c>
    </row>
    <row r="103" spans="2:9">
      <c r="B103" s="188">
        <f t="shared" si="7"/>
        <v>10000</v>
      </c>
      <c r="C103" s="167" t="s">
        <v>160</v>
      </c>
      <c r="D103" s="25">
        <f t="shared" ref="D103:I103" si="11">D$6+D$10+D$7*D60+D$8*($B103-D60)</f>
        <v>48814.431400000001</v>
      </c>
      <c r="E103" s="25">
        <f t="shared" si="11"/>
        <v>51081.968999999997</v>
      </c>
      <c r="F103" s="25">
        <f t="shared" si="11"/>
        <v>52977.916999999994</v>
      </c>
      <c r="G103" s="25">
        <f t="shared" si="11"/>
        <v>51353.465185825429</v>
      </c>
      <c r="H103" s="25">
        <f t="shared" si="11"/>
        <v>52637.301815471066</v>
      </c>
      <c r="I103" s="25">
        <f t="shared" si="11"/>
        <v>53953.234360857845</v>
      </c>
    </row>
    <row r="104" spans="2:9">
      <c r="C104" s="5"/>
    </row>
    <row r="105" spans="2:9" ht="15.75">
      <c r="B105" s="10" t="s">
        <v>161</v>
      </c>
      <c r="C105" s="167"/>
      <c r="D105" s="25"/>
      <c r="E105" s="25"/>
      <c r="F105" s="25"/>
      <c r="G105" s="25"/>
      <c r="H105" s="25"/>
      <c r="I105" s="25"/>
    </row>
    <row r="106" spans="2:9">
      <c r="B106" s="188">
        <f>B63</f>
        <v>0</v>
      </c>
      <c r="C106" s="167" t="s">
        <v>160</v>
      </c>
      <c r="D106" s="25"/>
      <c r="E106" s="25">
        <f>E63-D63</f>
        <v>-108.46000000000004</v>
      </c>
      <c r="F106" s="25">
        <f t="shared" ref="F106:I106" si="12">F63-E63</f>
        <v>15.950000000000045</v>
      </c>
      <c r="G106" s="25">
        <f t="shared" si="12"/>
        <v>21.727736994457814</v>
      </c>
      <c r="H106" s="25">
        <f t="shared" si="12"/>
        <v>15.742443424861449</v>
      </c>
      <c r="I106" s="25">
        <f t="shared" si="12"/>
        <v>16.136004510482962</v>
      </c>
    </row>
    <row r="107" spans="2:9">
      <c r="B107" s="188">
        <f t="shared" ref="B107:B146" si="13">B64</f>
        <v>25</v>
      </c>
      <c r="C107" s="167" t="s">
        <v>160</v>
      </c>
      <c r="D107" s="25"/>
      <c r="E107" s="25">
        <f t="shared" ref="E107:I122" si="14">E64-D64</f>
        <v>-105.46000000000004</v>
      </c>
      <c r="F107" s="25">
        <f t="shared" si="14"/>
        <v>18.200000000000045</v>
      </c>
      <c r="G107" s="25">
        <f t="shared" si="14"/>
        <v>19.653114876219774</v>
      </c>
      <c r="H107" s="25">
        <f t="shared" si="14"/>
        <v>17.340577871905452</v>
      </c>
      <c r="I107" s="25">
        <f t="shared" si="14"/>
        <v>17.774092318703083</v>
      </c>
    </row>
    <row r="108" spans="2:9">
      <c r="B108" s="188">
        <f t="shared" si="13"/>
        <v>50</v>
      </c>
      <c r="C108" s="167" t="s">
        <v>160</v>
      </c>
      <c r="D108" s="25"/>
      <c r="E108" s="25">
        <f t="shared" si="14"/>
        <v>-102.46000000000004</v>
      </c>
      <c r="F108" s="25">
        <f t="shared" si="14"/>
        <v>20.450000000000045</v>
      </c>
      <c r="G108" s="25">
        <f t="shared" si="14"/>
        <v>17.578492757981621</v>
      </c>
      <c r="H108" s="25">
        <f t="shared" si="14"/>
        <v>18.93871231894957</v>
      </c>
      <c r="I108" s="25">
        <f t="shared" si="14"/>
        <v>19.412180126923317</v>
      </c>
    </row>
    <row r="109" spans="2:9">
      <c r="B109" s="188">
        <f t="shared" si="13"/>
        <v>75</v>
      </c>
      <c r="C109" s="167" t="s">
        <v>160</v>
      </c>
      <c r="D109" s="25"/>
      <c r="E109" s="25">
        <f t="shared" si="14"/>
        <v>-99.460000000000036</v>
      </c>
      <c r="F109" s="25">
        <f t="shared" si="14"/>
        <v>22.700000000000045</v>
      </c>
      <c r="G109" s="25">
        <f t="shared" si="14"/>
        <v>15.503870639743582</v>
      </c>
      <c r="H109" s="25">
        <f t="shared" si="14"/>
        <v>20.536846765993573</v>
      </c>
      <c r="I109" s="25">
        <f t="shared" si="14"/>
        <v>21.050267935143438</v>
      </c>
    </row>
    <row r="110" spans="2:9">
      <c r="B110" s="188">
        <f t="shared" si="13"/>
        <v>100</v>
      </c>
      <c r="C110" s="167" t="s">
        <v>160</v>
      </c>
      <c r="D110" s="25"/>
      <c r="E110" s="25">
        <f t="shared" si="14"/>
        <v>-96.460000000000036</v>
      </c>
      <c r="F110" s="25">
        <f t="shared" si="14"/>
        <v>24.950000000000045</v>
      </c>
      <c r="G110" s="25">
        <f t="shared" si="14"/>
        <v>13.429248521505542</v>
      </c>
      <c r="H110" s="25">
        <f t="shared" si="14"/>
        <v>22.134981213037577</v>
      </c>
      <c r="I110" s="25">
        <f t="shared" si="14"/>
        <v>22.688355743363559</v>
      </c>
    </row>
    <row r="111" spans="2:9">
      <c r="B111" s="188">
        <f t="shared" si="13"/>
        <v>125</v>
      </c>
      <c r="C111" s="167" t="s">
        <v>160</v>
      </c>
      <c r="D111" s="25"/>
      <c r="E111" s="25">
        <f t="shared" si="14"/>
        <v>-93.460000000000036</v>
      </c>
      <c r="F111" s="25">
        <f t="shared" si="14"/>
        <v>27.200000000000045</v>
      </c>
      <c r="G111" s="25">
        <f t="shared" si="14"/>
        <v>11.354626403267503</v>
      </c>
      <c r="H111" s="25">
        <f t="shared" si="14"/>
        <v>23.73311566008158</v>
      </c>
      <c r="I111" s="25">
        <f t="shared" si="14"/>
        <v>24.326443551583679</v>
      </c>
    </row>
    <row r="112" spans="2:9">
      <c r="B112" s="188">
        <f t="shared" si="13"/>
        <v>150</v>
      </c>
      <c r="C112" s="167" t="s">
        <v>160</v>
      </c>
      <c r="D112" s="25"/>
      <c r="E112" s="25">
        <f t="shared" si="14"/>
        <v>-90.460000000000036</v>
      </c>
      <c r="F112" s="25">
        <f t="shared" si="14"/>
        <v>29.450000000000045</v>
      </c>
      <c r="G112" s="25">
        <f t="shared" si="14"/>
        <v>9.2800042850293494</v>
      </c>
      <c r="H112" s="25">
        <f t="shared" si="14"/>
        <v>25.331250107125811</v>
      </c>
      <c r="I112" s="25">
        <f t="shared" si="14"/>
        <v>25.964531359803686</v>
      </c>
    </row>
    <row r="113" spans="2:9">
      <c r="B113" s="188">
        <f t="shared" si="13"/>
        <v>175</v>
      </c>
      <c r="C113" s="167" t="s">
        <v>160</v>
      </c>
      <c r="D113" s="25"/>
      <c r="E113" s="25">
        <f t="shared" si="14"/>
        <v>-87.307991300379172</v>
      </c>
      <c r="F113" s="25">
        <f t="shared" si="14"/>
        <v>31.826673916350728</v>
      </c>
      <c r="G113" s="25">
        <f t="shared" si="14"/>
        <v>7.0998637807365412</v>
      </c>
      <c r="H113" s="25">
        <f t="shared" si="14"/>
        <v>27.010668064100628</v>
      </c>
      <c r="I113" s="25">
        <f t="shared" si="14"/>
        <v>27.685934765703223</v>
      </c>
    </row>
    <row r="114" spans="2:9">
      <c r="B114" s="188">
        <f t="shared" si="13"/>
        <v>200</v>
      </c>
      <c r="C114" s="167" t="s">
        <v>160</v>
      </c>
      <c r="D114" s="25"/>
      <c r="E114" s="25">
        <f t="shared" si="14"/>
        <v>-83.355898695220276</v>
      </c>
      <c r="F114" s="25">
        <f t="shared" si="14"/>
        <v>34.870084420649846</v>
      </c>
      <c r="G114" s="25">
        <f t="shared" si="14"/>
        <v>4.3643368897994606</v>
      </c>
      <c r="H114" s="25">
        <f t="shared" si="14"/>
        <v>29.117914350925503</v>
      </c>
      <c r="I114" s="25">
        <f t="shared" si="14"/>
        <v>29.845862209698453</v>
      </c>
    </row>
    <row r="115" spans="2:9">
      <c r="B115" s="188">
        <f t="shared" si="13"/>
        <v>225</v>
      </c>
      <c r="C115" s="167" t="s">
        <v>160</v>
      </c>
      <c r="D115" s="25"/>
      <c r="E115" s="25">
        <f t="shared" si="14"/>
        <v>-78.299159732476937</v>
      </c>
      <c r="F115" s="25">
        <f t="shared" si="14"/>
        <v>38.83403355626956</v>
      </c>
      <c r="G115" s="25">
        <f t="shared" si="14"/>
        <v>0.8620084861563555</v>
      </c>
      <c r="H115" s="25">
        <f t="shared" si="14"/>
        <v>31.815847443182292</v>
      </c>
      <c r="I115" s="25">
        <f t="shared" si="14"/>
        <v>32.611243629261708</v>
      </c>
    </row>
    <row r="116" spans="2:9">
      <c r="B116" s="188">
        <f t="shared" si="13"/>
        <v>250</v>
      </c>
      <c r="C116" s="167" t="s">
        <v>160</v>
      </c>
      <c r="D116" s="25"/>
      <c r="E116" s="25">
        <f t="shared" si="14"/>
        <v>-72.462400000000116</v>
      </c>
      <c r="F116" s="25">
        <f t="shared" si="14"/>
        <v>43.44800000000032</v>
      </c>
      <c r="G116" s="25">
        <f t="shared" si="14"/>
        <v>-3.1817792741999256</v>
      </c>
      <c r="H116" s="25">
        <f t="shared" si="14"/>
        <v>34.930880518144704</v>
      </c>
      <c r="I116" s="25">
        <f t="shared" si="14"/>
        <v>35.80415253109868</v>
      </c>
    </row>
    <row r="117" spans="2:9">
      <c r="B117" s="188">
        <f t="shared" si="13"/>
        <v>275</v>
      </c>
      <c r="C117" s="167" t="s">
        <v>160</v>
      </c>
      <c r="D117" s="25"/>
      <c r="E117" s="25">
        <f t="shared" si="14"/>
        <v>-66.462400000000116</v>
      </c>
      <c r="F117" s="25">
        <f t="shared" si="14"/>
        <v>48.19800000000032</v>
      </c>
      <c r="G117" s="25">
        <f t="shared" si="14"/>
        <v>-7.3388819277904531</v>
      </c>
      <c r="H117" s="25">
        <f t="shared" si="14"/>
        <v>38.133202951804833</v>
      </c>
      <c r="I117" s="25">
        <f t="shared" si="14"/>
        <v>39.086533025600374</v>
      </c>
    </row>
    <row r="118" spans="2:9">
      <c r="B118" s="188">
        <f t="shared" si="13"/>
        <v>300</v>
      </c>
      <c r="C118" s="167" t="s">
        <v>160</v>
      </c>
      <c r="D118" s="25"/>
      <c r="E118" s="25">
        <f t="shared" si="14"/>
        <v>-60.462400000000116</v>
      </c>
      <c r="F118" s="25">
        <f t="shared" si="14"/>
        <v>52.94800000000032</v>
      </c>
      <c r="G118" s="25">
        <f t="shared" si="14"/>
        <v>-11.495984581381208</v>
      </c>
      <c r="H118" s="25">
        <f t="shared" si="14"/>
        <v>41.335525385465189</v>
      </c>
      <c r="I118" s="25">
        <f t="shared" si="14"/>
        <v>42.368913520102069</v>
      </c>
    </row>
    <row r="119" spans="2:9">
      <c r="B119" s="188">
        <f t="shared" si="13"/>
        <v>325</v>
      </c>
      <c r="C119" s="167" t="s">
        <v>160</v>
      </c>
      <c r="D119" s="25"/>
      <c r="E119" s="25">
        <f t="shared" si="14"/>
        <v>-54.462400000000116</v>
      </c>
      <c r="F119" s="25">
        <f t="shared" si="14"/>
        <v>57.69800000000032</v>
      </c>
      <c r="G119" s="25">
        <f t="shared" si="14"/>
        <v>-15.653087234971963</v>
      </c>
      <c r="H119" s="25">
        <f t="shared" si="14"/>
        <v>44.537847819125545</v>
      </c>
      <c r="I119" s="25">
        <f t="shared" si="14"/>
        <v>45.651294014603991</v>
      </c>
    </row>
    <row r="120" spans="2:9">
      <c r="B120" s="188">
        <f t="shared" si="13"/>
        <v>350</v>
      </c>
      <c r="C120" s="167" t="s">
        <v>160</v>
      </c>
      <c r="D120" s="25"/>
      <c r="E120" s="25">
        <f t="shared" si="14"/>
        <v>-48.462400000000116</v>
      </c>
      <c r="F120" s="25">
        <f t="shared" si="14"/>
        <v>62.44800000000032</v>
      </c>
      <c r="G120" s="25">
        <f t="shared" si="14"/>
        <v>-19.810189888562718</v>
      </c>
      <c r="H120" s="25">
        <f t="shared" si="14"/>
        <v>47.740170252785902</v>
      </c>
      <c r="I120" s="25">
        <f t="shared" si="14"/>
        <v>48.933674509105458</v>
      </c>
    </row>
    <row r="121" spans="2:9">
      <c r="B121" s="188">
        <f t="shared" si="13"/>
        <v>375</v>
      </c>
      <c r="C121" s="167" t="s">
        <v>160</v>
      </c>
      <c r="D121" s="25"/>
      <c r="E121" s="25">
        <f t="shared" si="14"/>
        <v>-42.462400000000116</v>
      </c>
      <c r="F121" s="25">
        <f t="shared" si="14"/>
        <v>67.198000000000548</v>
      </c>
      <c r="G121" s="25">
        <f t="shared" si="14"/>
        <v>-23.9672925421537</v>
      </c>
      <c r="H121" s="25">
        <f t="shared" si="14"/>
        <v>50.942492686446258</v>
      </c>
      <c r="I121" s="25">
        <f t="shared" si="14"/>
        <v>52.21605500360738</v>
      </c>
    </row>
    <row r="122" spans="2:9">
      <c r="B122" s="188">
        <f t="shared" si="13"/>
        <v>400</v>
      </c>
      <c r="C122" s="167" t="s">
        <v>160</v>
      </c>
      <c r="D122" s="25"/>
      <c r="E122" s="25">
        <f t="shared" si="14"/>
        <v>-36.462400000000343</v>
      </c>
      <c r="F122" s="25">
        <f t="shared" si="14"/>
        <v>71.94800000000032</v>
      </c>
      <c r="G122" s="25">
        <f t="shared" si="14"/>
        <v>-28.124395195744</v>
      </c>
      <c r="H122" s="25">
        <f t="shared" si="14"/>
        <v>54.144815120105704</v>
      </c>
      <c r="I122" s="25">
        <f t="shared" si="14"/>
        <v>55.498435498109302</v>
      </c>
    </row>
    <row r="123" spans="2:9">
      <c r="B123" s="188">
        <f t="shared" si="13"/>
        <v>425</v>
      </c>
      <c r="C123" s="167" t="s">
        <v>160</v>
      </c>
      <c r="D123" s="25"/>
      <c r="E123" s="25">
        <f t="shared" ref="E123:I138" si="15">E80-D80</f>
        <v>-30.462400000000343</v>
      </c>
      <c r="F123" s="25">
        <f t="shared" si="15"/>
        <v>76.69800000000032</v>
      </c>
      <c r="G123" s="25">
        <f t="shared" si="15"/>
        <v>-32.28149784933521</v>
      </c>
      <c r="H123" s="25">
        <f t="shared" si="15"/>
        <v>57.347137553766515</v>
      </c>
      <c r="I123" s="25">
        <f t="shared" si="15"/>
        <v>58.780815992610769</v>
      </c>
    </row>
    <row r="124" spans="2:9">
      <c r="B124" s="188">
        <f t="shared" si="13"/>
        <v>450</v>
      </c>
      <c r="C124" s="167" t="s">
        <v>160</v>
      </c>
      <c r="D124" s="25"/>
      <c r="E124" s="25">
        <f t="shared" si="15"/>
        <v>-24.462400000000343</v>
      </c>
      <c r="F124" s="25">
        <f t="shared" si="15"/>
        <v>81.44800000000032</v>
      </c>
      <c r="G124" s="25">
        <f t="shared" si="15"/>
        <v>-36.43860050292551</v>
      </c>
      <c r="H124" s="25">
        <f t="shared" si="15"/>
        <v>60.549459987426417</v>
      </c>
      <c r="I124" s="25">
        <f t="shared" si="15"/>
        <v>62.063196487112691</v>
      </c>
    </row>
    <row r="125" spans="2:9">
      <c r="B125" s="188">
        <f t="shared" si="13"/>
        <v>475</v>
      </c>
      <c r="C125" s="167" t="s">
        <v>160</v>
      </c>
      <c r="D125" s="25"/>
      <c r="E125" s="25">
        <f t="shared" si="15"/>
        <v>-18.462400000000343</v>
      </c>
      <c r="F125" s="25">
        <f t="shared" si="15"/>
        <v>86.19800000000032</v>
      </c>
      <c r="G125" s="25">
        <f t="shared" si="15"/>
        <v>-40.59570315651581</v>
      </c>
      <c r="H125" s="25">
        <f t="shared" si="15"/>
        <v>63.751782421086318</v>
      </c>
      <c r="I125" s="25">
        <f t="shared" si="15"/>
        <v>65.345576981614613</v>
      </c>
    </row>
    <row r="126" spans="2:9">
      <c r="B126" s="188">
        <f t="shared" si="13"/>
        <v>500</v>
      </c>
      <c r="C126" s="167" t="s">
        <v>160</v>
      </c>
      <c r="D126" s="25"/>
      <c r="E126" s="25">
        <f t="shared" si="15"/>
        <v>-12.462400000000343</v>
      </c>
      <c r="F126" s="25">
        <f t="shared" si="15"/>
        <v>90.94800000000032</v>
      </c>
      <c r="G126" s="25">
        <f t="shared" si="15"/>
        <v>-44.75280581010702</v>
      </c>
      <c r="H126" s="25">
        <f t="shared" si="15"/>
        <v>66.954104854747129</v>
      </c>
      <c r="I126" s="25">
        <f t="shared" si="15"/>
        <v>68.627957476116535</v>
      </c>
    </row>
    <row r="127" spans="2:9">
      <c r="B127" s="188">
        <f t="shared" si="13"/>
        <v>525</v>
      </c>
      <c r="C127" s="167" t="s">
        <v>160</v>
      </c>
      <c r="D127" s="25"/>
      <c r="E127" s="25">
        <f t="shared" si="15"/>
        <v>-6.4624000000003434</v>
      </c>
      <c r="F127" s="25">
        <f t="shared" si="15"/>
        <v>95.69800000000032</v>
      </c>
      <c r="G127" s="25">
        <f t="shared" si="15"/>
        <v>-48.90990846369732</v>
      </c>
      <c r="H127" s="25">
        <f t="shared" si="15"/>
        <v>70.156427288407031</v>
      </c>
      <c r="I127" s="25">
        <f t="shared" si="15"/>
        <v>71.910337970618002</v>
      </c>
    </row>
    <row r="128" spans="2:9">
      <c r="B128" s="188">
        <f t="shared" si="13"/>
        <v>550</v>
      </c>
      <c r="C128" s="167" t="s">
        <v>160</v>
      </c>
      <c r="D128" s="25"/>
      <c r="E128" s="25">
        <f t="shared" si="15"/>
        <v>-0.46240000000034343</v>
      </c>
      <c r="F128" s="25">
        <f t="shared" si="15"/>
        <v>100.44800000000032</v>
      </c>
      <c r="G128" s="25">
        <f t="shared" si="15"/>
        <v>-53.067011117288075</v>
      </c>
      <c r="H128" s="25">
        <f t="shared" si="15"/>
        <v>73.358749722067387</v>
      </c>
      <c r="I128" s="25">
        <f t="shared" si="15"/>
        <v>75.192718465119469</v>
      </c>
    </row>
    <row r="129" spans="2:9">
      <c r="B129" s="188">
        <f t="shared" si="13"/>
        <v>575</v>
      </c>
      <c r="C129" s="167" t="s">
        <v>160</v>
      </c>
      <c r="D129" s="25"/>
      <c r="E129" s="25">
        <f t="shared" si="15"/>
        <v>5.5375999999996566</v>
      </c>
      <c r="F129" s="25">
        <f t="shared" si="15"/>
        <v>105.19800000000032</v>
      </c>
      <c r="G129" s="25">
        <f t="shared" si="15"/>
        <v>-57.22411377087883</v>
      </c>
      <c r="H129" s="25">
        <f t="shared" si="15"/>
        <v>76.561072155727743</v>
      </c>
      <c r="I129" s="25">
        <f t="shared" si="15"/>
        <v>78.475098959621391</v>
      </c>
    </row>
    <row r="130" spans="2:9">
      <c r="B130" s="188">
        <f t="shared" si="13"/>
        <v>600</v>
      </c>
      <c r="C130" s="167" t="s">
        <v>160</v>
      </c>
      <c r="D130" s="25"/>
      <c r="E130" s="25">
        <f t="shared" si="15"/>
        <v>11.537599999999657</v>
      </c>
      <c r="F130" s="25">
        <f t="shared" si="15"/>
        <v>109.94800000000032</v>
      </c>
      <c r="G130" s="25">
        <f t="shared" si="15"/>
        <v>-61.381216424469585</v>
      </c>
      <c r="H130" s="25">
        <f t="shared" si="15"/>
        <v>79.763394589388099</v>
      </c>
      <c r="I130" s="25">
        <f t="shared" si="15"/>
        <v>81.757479454123313</v>
      </c>
    </row>
    <row r="131" spans="2:9">
      <c r="B131" s="188">
        <f t="shared" si="13"/>
        <v>625</v>
      </c>
      <c r="C131" s="167" t="s">
        <v>160</v>
      </c>
      <c r="D131" s="25"/>
      <c r="E131" s="25">
        <f t="shared" si="15"/>
        <v>17.537599999999657</v>
      </c>
      <c r="F131" s="25">
        <f t="shared" si="15"/>
        <v>114.69800000000032</v>
      </c>
      <c r="G131" s="25">
        <f t="shared" si="15"/>
        <v>-65.53831907806034</v>
      </c>
      <c r="H131" s="25">
        <f t="shared" si="15"/>
        <v>82.965717023048455</v>
      </c>
      <c r="I131" s="25">
        <f t="shared" si="15"/>
        <v>85.039859948624326</v>
      </c>
    </row>
    <row r="132" spans="2:9">
      <c r="B132" s="188">
        <f t="shared" si="13"/>
        <v>650</v>
      </c>
      <c r="C132" s="167" t="s">
        <v>160</v>
      </c>
      <c r="D132" s="25"/>
      <c r="E132" s="25">
        <f t="shared" si="15"/>
        <v>23.537599999999657</v>
      </c>
      <c r="F132" s="25">
        <f t="shared" si="15"/>
        <v>119.44800000000032</v>
      </c>
      <c r="G132" s="25">
        <f t="shared" si="15"/>
        <v>-69.695421731651095</v>
      </c>
      <c r="H132" s="25">
        <f t="shared" si="15"/>
        <v>86.168039456708811</v>
      </c>
      <c r="I132" s="25">
        <f t="shared" si="15"/>
        <v>88.322240443126248</v>
      </c>
    </row>
    <row r="133" spans="2:9">
      <c r="B133" s="188">
        <f t="shared" si="13"/>
        <v>675</v>
      </c>
      <c r="C133" s="167" t="s">
        <v>160</v>
      </c>
      <c r="D133" s="25"/>
      <c r="E133" s="25">
        <f t="shared" si="15"/>
        <v>29.537599999999657</v>
      </c>
      <c r="F133" s="25">
        <f t="shared" si="15"/>
        <v>124.19800000000032</v>
      </c>
      <c r="G133" s="25">
        <f t="shared" si="15"/>
        <v>-73.852524385241395</v>
      </c>
      <c r="H133" s="25">
        <f t="shared" si="15"/>
        <v>89.370361890368713</v>
      </c>
      <c r="I133" s="25">
        <f t="shared" si="15"/>
        <v>91.604620937628169</v>
      </c>
    </row>
    <row r="134" spans="2:9">
      <c r="B134" s="188">
        <f t="shared" si="13"/>
        <v>700</v>
      </c>
      <c r="C134" s="167" t="s">
        <v>160</v>
      </c>
      <c r="D134" s="25"/>
      <c r="E134" s="25">
        <f t="shared" si="15"/>
        <v>35.537599999999657</v>
      </c>
      <c r="F134" s="25">
        <f t="shared" si="15"/>
        <v>128.94800000000032</v>
      </c>
      <c r="G134" s="25">
        <f t="shared" si="15"/>
        <v>-78.00962703883215</v>
      </c>
      <c r="H134" s="25">
        <f t="shared" si="15"/>
        <v>92.572684324029069</v>
      </c>
      <c r="I134" s="25">
        <f t="shared" si="15"/>
        <v>94.887001432130091</v>
      </c>
    </row>
    <row r="135" spans="2:9">
      <c r="B135" s="188">
        <f t="shared" si="13"/>
        <v>725</v>
      </c>
      <c r="C135" s="167" t="s">
        <v>160</v>
      </c>
      <c r="D135" s="25"/>
      <c r="E135" s="25">
        <f t="shared" si="15"/>
        <v>41.537599999999202</v>
      </c>
      <c r="F135" s="25">
        <f t="shared" si="15"/>
        <v>133.69800000000077</v>
      </c>
      <c r="G135" s="25">
        <f t="shared" si="15"/>
        <v>-82.166729692422905</v>
      </c>
      <c r="H135" s="25">
        <f t="shared" si="15"/>
        <v>95.775006757688971</v>
      </c>
      <c r="I135" s="25">
        <f t="shared" si="15"/>
        <v>98.169381926631559</v>
      </c>
    </row>
    <row r="136" spans="2:9">
      <c r="B136" s="188">
        <f t="shared" si="13"/>
        <v>750</v>
      </c>
      <c r="C136" s="167" t="s">
        <v>160</v>
      </c>
      <c r="D136" s="25"/>
      <c r="E136" s="25">
        <f t="shared" si="15"/>
        <v>47.537599999999202</v>
      </c>
      <c r="F136" s="25">
        <f t="shared" si="15"/>
        <v>138.44800000000077</v>
      </c>
      <c r="G136" s="25">
        <f t="shared" si="15"/>
        <v>-86.32383234601366</v>
      </c>
      <c r="H136" s="25">
        <f t="shared" si="15"/>
        <v>98.977329191349327</v>
      </c>
      <c r="I136" s="25">
        <f t="shared" si="15"/>
        <v>101.45176242113348</v>
      </c>
    </row>
    <row r="137" spans="2:9">
      <c r="B137" s="188">
        <f t="shared" si="13"/>
        <v>775</v>
      </c>
      <c r="C137" s="167" t="s">
        <v>160</v>
      </c>
      <c r="D137" s="25"/>
      <c r="E137" s="25">
        <f t="shared" si="15"/>
        <v>53.537599999999202</v>
      </c>
      <c r="F137" s="25">
        <f t="shared" si="15"/>
        <v>143.19800000000077</v>
      </c>
      <c r="G137" s="25">
        <f t="shared" si="15"/>
        <v>-90.480934999604415</v>
      </c>
      <c r="H137" s="25">
        <f t="shared" si="15"/>
        <v>102.17965162500923</v>
      </c>
      <c r="I137" s="25">
        <f t="shared" si="15"/>
        <v>104.73414291563586</v>
      </c>
    </row>
    <row r="138" spans="2:9">
      <c r="B138" s="188">
        <f t="shared" si="13"/>
        <v>800</v>
      </c>
      <c r="C138" s="167" t="s">
        <v>160</v>
      </c>
      <c r="D138" s="25"/>
      <c r="E138" s="25">
        <f t="shared" si="15"/>
        <v>59.537599999998747</v>
      </c>
      <c r="F138" s="25">
        <f t="shared" si="15"/>
        <v>147.94800000000123</v>
      </c>
      <c r="G138" s="25">
        <f t="shared" si="15"/>
        <v>-94.63803765319517</v>
      </c>
      <c r="H138" s="25">
        <f t="shared" si="15"/>
        <v>105.38197405866958</v>
      </c>
      <c r="I138" s="25">
        <f t="shared" si="15"/>
        <v>108.01652341013778</v>
      </c>
    </row>
    <row r="139" spans="2:9">
      <c r="B139" s="188">
        <f t="shared" si="13"/>
        <v>825</v>
      </c>
      <c r="C139" s="167" t="s">
        <v>160</v>
      </c>
      <c r="D139" s="25"/>
      <c r="E139" s="25">
        <f t="shared" ref="E139:I146" si="16">E96-D96</f>
        <v>65.537599999998747</v>
      </c>
      <c r="F139" s="25">
        <f t="shared" si="16"/>
        <v>152.69800000000123</v>
      </c>
      <c r="G139" s="25">
        <f t="shared" si="16"/>
        <v>-98.79514030678547</v>
      </c>
      <c r="H139" s="25">
        <f t="shared" si="16"/>
        <v>108.58429649232949</v>
      </c>
      <c r="I139" s="25">
        <f t="shared" si="16"/>
        <v>111.29890390463879</v>
      </c>
    </row>
    <row r="140" spans="2:9">
      <c r="B140" s="188">
        <f t="shared" si="13"/>
        <v>850</v>
      </c>
      <c r="C140" s="167" t="s">
        <v>160</v>
      </c>
      <c r="D140" s="25"/>
      <c r="E140" s="25">
        <f t="shared" si="16"/>
        <v>71.537599999998747</v>
      </c>
      <c r="F140" s="25">
        <f t="shared" si="16"/>
        <v>157.44800000000123</v>
      </c>
      <c r="G140" s="25">
        <f t="shared" si="16"/>
        <v>-102.95224296037577</v>
      </c>
      <c r="H140" s="25">
        <f t="shared" si="16"/>
        <v>111.78661892598939</v>
      </c>
      <c r="I140" s="25">
        <f t="shared" si="16"/>
        <v>114.58128439914071</v>
      </c>
    </row>
    <row r="141" spans="2:9">
      <c r="B141" s="188">
        <f t="shared" si="13"/>
        <v>875</v>
      </c>
      <c r="C141" s="167" t="s">
        <v>160</v>
      </c>
      <c r="D141" s="25"/>
      <c r="E141" s="25">
        <f t="shared" si="16"/>
        <v>77.537599999998747</v>
      </c>
      <c r="F141" s="25">
        <f t="shared" si="16"/>
        <v>162.19800000000123</v>
      </c>
      <c r="G141" s="25">
        <f t="shared" si="16"/>
        <v>-107.10934561396698</v>
      </c>
      <c r="H141" s="25">
        <f t="shared" si="16"/>
        <v>114.9889413596502</v>
      </c>
      <c r="I141" s="25">
        <f t="shared" si="16"/>
        <v>117.86366489364264</v>
      </c>
    </row>
    <row r="142" spans="2:9">
      <c r="B142" s="188">
        <f t="shared" si="13"/>
        <v>900</v>
      </c>
      <c r="C142" s="167" t="s">
        <v>160</v>
      </c>
      <c r="D142" s="25"/>
      <c r="E142" s="25">
        <f t="shared" si="16"/>
        <v>83.537599999998747</v>
      </c>
      <c r="F142" s="25">
        <f t="shared" si="16"/>
        <v>166.94800000000123</v>
      </c>
      <c r="G142" s="25">
        <f t="shared" si="16"/>
        <v>-111.26644826755819</v>
      </c>
      <c r="H142" s="25">
        <f t="shared" si="16"/>
        <v>118.19126379331101</v>
      </c>
      <c r="I142" s="25">
        <f t="shared" si="16"/>
        <v>121.14604538814365</v>
      </c>
    </row>
    <row r="143" spans="2:9">
      <c r="B143" s="188">
        <f t="shared" si="13"/>
        <v>1000</v>
      </c>
      <c r="C143" s="167" t="s">
        <v>160</v>
      </c>
      <c r="D143" s="25"/>
      <c r="E143" s="25">
        <f t="shared" si="16"/>
        <v>107.53759999999875</v>
      </c>
      <c r="F143" s="25">
        <f t="shared" si="16"/>
        <v>185.94800000000032</v>
      </c>
      <c r="G143" s="25">
        <f t="shared" si="16"/>
        <v>-127.8948588819203</v>
      </c>
      <c r="H143" s="25">
        <f t="shared" si="16"/>
        <v>131.00055352795243</v>
      </c>
      <c r="I143" s="25">
        <f t="shared" si="16"/>
        <v>134.27556736615134</v>
      </c>
    </row>
    <row r="144" spans="2:9">
      <c r="B144" s="188">
        <f t="shared" si="13"/>
        <v>2000</v>
      </c>
      <c r="C144" s="167" t="s">
        <v>160</v>
      </c>
      <c r="D144" s="25"/>
      <c r="E144" s="25">
        <f t="shared" si="16"/>
        <v>347.53759999999966</v>
      </c>
      <c r="F144" s="25">
        <f t="shared" si="16"/>
        <v>375.94800000000214</v>
      </c>
      <c r="G144" s="25">
        <f t="shared" si="16"/>
        <v>-294.17896502554868</v>
      </c>
      <c r="H144" s="25">
        <f t="shared" si="16"/>
        <v>259.09345087436122</v>
      </c>
      <c r="I144" s="25">
        <f t="shared" si="16"/>
        <v>265.57078714622003</v>
      </c>
    </row>
    <row r="145" spans="2:9">
      <c r="B145" s="188">
        <f t="shared" si="13"/>
        <v>5000</v>
      </c>
      <c r="C145" s="167" t="s">
        <v>160</v>
      </c>
      <c r="D145" s="25"/>
      <c r="E145" s="25">
        <f t="shared" si="16"/>
        <v>1067.537599999996</v>
      </c>
      <c r="F145" s="25">
        <f t="shared" si="16"/>
        <v>945.94800000000032</v>
      </c>
      <c r="G145" s="25">
        <f t="shared" si="16"/>
        <v>-793.03128345642835</v>
      </c>
      <c r="H145" s="25">
        <f t="shared" si="16"/>
        <v>643.3721429135876</v>
      </c>
      <c r="I145" s="25">
        <f t="shared" si="16"/>
        <v>659.45644648643065</v>
      </c>
    </row>
    <row r="146" spans="2:9">
      <c r="B146" s="188">
        <f t="shared" si="13"/>
        <v>10000</v>
      </c>
      <c r="C146" s="167" t="s">
        <v>160</v>
      </c>
      <c r="D146" s="25"/>
      <c r="E146" s="25">
        <f t="shared" si="16"/>
        <v>2267.537599999996</v>
      </c>
      <c r="F146" s="25">
        <f t="shared" si="16"/>
        <v>1895.9479999999967</v>
      </c>
      <c r="G146" s="25">
        <f t="shared" si="16"/>
        <v>-1624.4518141745648</v>
      </c>
      <c r="H146" s="25">
        <f t="shared" si="16"/>
        <v>1283.836629645637</v>
      </c>
      <c r="I146" s="25">
        <f t="shared" si="16"/>
        <v>1315.9325453867787</v>
      </c>
    </row>
    <row r="147" spans="2:9">
      <c r="C147" s="5"/>
    </row>
    <row r="148" spans="2:9" ht="15.75">
      <c r="B148" s="10" t="s">
        <v>161</v>
      </c>
      <c r="C148" s="167"/>
      <c r="D148" s="25"/>
      <c r="E148" s="25"/>
      <c r="F148" s="25"/>
      <c r="G148" s="25"/>
      <c r="H148" s="25"/>
      <c r="I148" s="25"/>
    </row>
    <row r="149" spans="2:9">
      <c r="B149" s="188">
        <f>B106</f>
        <v>0</v>
      </c>
      <c r="C149" s="167" t="s">
        <v>104</v>
      </c>
      <c r="D149" s="25"/>
      <c r="E149" s="24">
        <f>E106/D63</f>
        <v>-0.15483668341708548</v>
      </c>
      <c r="F149" s="24">
        <f t="shared" ref="F149:I149" si="17">F106/E63</f>
        <v>2.6941657376440064E-2</v>
      </c>
      <c r="G149" s="24">
        <f t="shared" si="17"/>
        <v>3.5738172927048721E-2</v>
      </c>
      <c r="H149" s="24">
        <f t="shared" si="17"/>
        <v>2.5000000000000005E-2</v>
      </c>
      <c r="I149" s="24">
        <f t="shared" si="17"/>
        <v>2.499999999999997E-2</v>
      </c>
    </row>
    <row r="150" spans="2:9">
      <c r="B150" s="188">
        <f t="shared" ref="B150:B189" si="18">B107</f>
        <v>25</v>
      </c>
      <c r="C150" s="167" t="s">
        <v>104</v>
      </c>
      <c r="D150" s="25"/>
      <c r="E150" s="24">
        <f t="shared" ref="E150:I165" si="19">E107/D64</f>
        <v>-0.13853894355188318</v>
      </c>
      <c r="F150" s="24">
        <f t="shared" si="19"/>
        <v>2.7753633133568243E-2</v>
      </c>
      <c r="G150" s="24">
        <f t="shared" si="19"/>
        <v>2.9160222081427621E-2</v>
      </c>
      <c r="H150" s="24">
        <f t="shared" si="19"/>
        <v>2.4999999999999939E-2</v>
      </c>
      <c r="I150" s="24">
        <f t="shared" si="19"/>
        <v>2.4999999999999932E-2</v>
      </c>
    </row>
    <row r="151" spans="2:9">
      <c r="B151" s="188">
        <f t="shared" si="18"/>
        <v>50</v>
      </c>
      <c r="C151" s="167" t="s">
        <v>104</v>
      </c>
      <c r="D151" s="25"/>
      <c r="E151" s="24">
        <f t="shared" si="19"/>
        <v>-0.12465023479890026</v>
      </c>
      <c r="F151" s="24">
        <f t="shared" si="19"/>
        <v>2.8421725594841071E-2</v>
      </c>
      <c r="G151" s="24">
        <f t="shared" si="19"/>
        <v>2.3755683011448599E-2</v>
      </c>
      <c r="H151" s="24">
        <f t="shared" si="19"/>
        <v>2.5000000000000036E-2</v>
      </c>
      <c r="I151" s="24">
        <f t="shared" si="19"/>
        <v>2.5000000000000046E-2</v>
      </c>
    </row>
    <row r="152" spans="2:9">
      <c r="B152" s="188">
        <f t="shared" si="18"/>
        <v>75</v>
      </c>
      <c r="C152" s="167" t="s">
        <v>104</v>
      </c>
      <c r="D152" s="25"/>
      <c r="E152" s="24">
        <f t="shared" si="19"/>
        <v>-0.11267318432589811</v>
      </c>
      <c r="F152" s="24">
        <f t="shared" si="19"/>
        <v>2.8981066554317217E-2</v>
      </c>
      <c r="G152" s="24">
        <f t="shared" si="19"/>
        <v>1.9236287504179536E-2</v>
      </c>
      <c r="H152" s="24">
        <f t="shared" si="19"/>
        <v>2.4999999999999981E-2</v>
      </c>
      <c r="I152" s="24">
        <f t="shared" si="19"/>
        <v>2.5000000000000012E-2</v>
      </c>
    </row>
    <row r="153" spans="2:9">
      <c r="B153" s="188">
        <f t="shared" si="18"/>
        <v>100</v>
      </c>
      <c r="C153" s="167" t="s">
        <v>104</v>
      </c>
      <c r="D153" s="25"/>
      <c r="E153" s="24">
        <f t="shared" si="19"/>
        <v>-0.10223852121931576</v>
      </c>
      <c r="F153" s="24">
        <f t="shared" si="19"/>
        <v>2.9456211187457258E-2</v>
      </c>
      <c r="G153" s="24">
        <f t="shared" si="19"/>
        <v>1.5401044211963189E-2</v>
      </c>
      <c r="H153" s="24">
        <f t="shared" si="19"/>
        <v>2.4999999999999929E-2</v>
      </c>
      <c r="I153" s="24">
        <f t="shared" si="19"/>
        <v>2.4999999999999977E-2</v>
      </c>
    </row>
    <row r="154" spans="2:9">
      <c r="B154" s="188">
        <f t="shared" si="18"/>
        <v>125</v>
      </c>
      <c r="C154" s="167" t="s">
        <v>104</v>
      </c>
      <c r="D154" s="25"/>
      <c r="E154" s="24">
        <f t="shared" si="19"/>
        <v>-9.3066329426525832E-2</v>
      </c>
      <c r="F154" s="24">
        <f t="shared" si="19"/>
        <v>2.9864839641182785E-2</v>
      </c>
      <c r="G154" s="24">
        <f t="shared" si="19"/>
        <v>1.2105532589813643E-2</v>
      </c>
      <c r="H154" s="24">
        <f t="shared" si="19"/>
        <v>2.4999999999999887E-2</v>
      </c>
      <c r="I154" s="24">
        <f t="shared" si="19"/>
        <v>2.4999999999999949E-2</v>
      </c>
    </row>
    <row r="155" spans="2:9">
      <c r="B155" s="188">
        <f t="shared" si="18"/>
        <v>150</v>
      </c>
      <c r="C155" s="167" t="s">
        <v>104</v>
      </c>
      <c r="D155" s="25"/>
      <c r="E155" s="24">
        <f t="shared" si="19"/>
        <v>-8.4940562264080116E-2</v>
      </c>
      <c r="F155" s="24">
        <f t="shared" si="19"/>
        <v>3.0220005746418796E-2</v>
      </c>
      <c r="G155" s="24">
        <f t="shared" si="19"/>
        <v>9.2433083508763701E-3</v>
      </c>
      <c r="H155" s="24">
        <f t="shared" si="19"/>
        <v>2.5000000000000074E-2</v>
      </c>
      <c r="I155" s="24">
        <f t="shared" si="19"/>
        <v>2.4999999999999814E-2</v>
      </c>
    </row>
    <row r="156" spans="2:9">
      <c r="B156" s="188">
        <f t="shared" si="18"/>
        <v>175</v>
      </c>
      <c r="C156" s="167" t="s">
        <v>104</v>
      </c>
      <c r="D156" s="25"/>
      <c r="E156" s="24">
        <f t="shared" si="19"/>
        <v>-7.7345286066954858E-2</v>
      </c>
      <c r="F156" s="24">
        <f t="shared" si="19"/>
        <v>3.0558490894955267E-2</v>
      </c>
      <c r="G156" s="24">
        <f t="shared" si="19"/>
        <v>6.6148198217873995E-3</v>
      </c>
      <c r="H156" s="24">
        <f t="shared" si="19"/>
        <v>2.4999999999999863E-2</v>
      </c>
      <c r="I156" s="24">
        <f t="shared" si="19"/>
        <v>2.4999999999999939E-2</v>
      </c>
    </row>
    <row r="157" spans="2:9">
      <c r="B157" s="188">
        <f t="shared" si="18"/>
        <v>200</v>
      </c>
      <c r="C157" s="168" t="s">
        <v>104</v>
      </c>
      <c r="D157" s="89"/>
      <c r="E157" s="90">
        <f t="shared" si="19"/>
        <v>-6.8955389514071083E-2</v>
      </c>
      <c r="F157" s="90">
        <f t="shared" si="19"/>
        <v>3.0982352173398998E-2</v>
      </c>
      <c r="G157" s="90">
        <f t="shared" si="19"/>
        <v>3.7612172839252538E-3</v>
      </c>
      <c r="H157" s="90">
        <f t="shared" si="19"/>
        <v>2.5000000000000005E-2</v>
      </c>
      <c r="I157" s="90">
        <f t="shared" si="19"/>
        <v>2.4999999999999849E-2</v>
      </c>
    </row>
    <row r="158" spans="2:9">
      <c r="B158" s="188">
        <f t="shared" si="18"/>
        <v>225</v>
      </c>
      <c r="C158" s="167" t="s">
        <v>104</v>
      </c>
      <c r="D158" s="25"/>
      <c r="E158" s="24">
        <f t="shared" si="19"/>
        <v>-5.9713963846235493E-2</v>
      </c>
      <c r="F158" s="24">
        <f t="shared" si="19"/>
        <v>3.1497154035146593E-2</v>
      </c>
      <c r="G158" s="24">
        <f t="shared" si="19"/>
        <v>6.7780117916485386E-4</v>
      </c>
      <c r="H158" s="24">
        <f t="shared" si="19"/>
        <v>2.5000000000000001E-2</v>
      </c>
      <c r="I158" s="24">
        <f t="shared" si="19"/>
        <v>2.499999999999989E-2</v>
      </c>
    </row>
    <row r="159" spans="2:9">
      <c r="B159" s="188">
        <f t="shared" si="18"/>
        <v>250</v>
      </c>
      <c r="C159" s="167" t="s">
        <v>104</v>
      </c>
      <c r="D159" s="25"/>
      <c r="E159" s="24">
        <f t="shared" si="19"/>
        <v>-5.0693163729298323E-2</v>
      </c>
      <c r="F159" s="24">
        <f t="shared" si="19"/>
        <v>3.2018417517275875E-2</v>
      </c>
      <c r="G159" s="24">
        <f t="shared" si="19"/>
        <v>-2.2720227433685289E-3</v>
      </c>
      <c r="H159" s="24">
        <f t="shared" si="19"/>
        <v>2.4999999999999783E-2</v>
      </c>
      <c r="I159" s="24">
        <f t="shared" si="19"/>
        <v>2.500000000000004E-2</v>
      </c>
    </row>
    <row r="160" spans="2:9">
      <c r="B160" s="188">
        <f t="shared" si="18"/>
        <v>275</v>
      </c>
      <c r="C160" s="167" t="s">
        <v>104</v>
      </c>
      <c r="D160" s="25"/>
      <c r="E160" s="24">
        <f t="shared" si="19"/>
        <v>-4.2853217105540659E-2</v>
      </c>
      <c r="F160" s="24">
        <f t="shared" si="19"/>
        <v>3.2468175489013464E-2</v>
      </c>
      <c r="G160" s="24">
        <f t="shared" si="19"/>
        <v>-4.7883081763947762E-3</v>
      </c>
      <c r="H160" s="24">
        <f t="shared" si="19"/>
        <v>2.4999999999999731E-2</v>
      </c>
      <c r="I160" s="24">
        <f t="shared" si="19"/>
        <v>2.5000000000000008E-2</v>
      </c>
    </row>
    <row r="161" spans="2:9">
      <c r="B161" s="188">
        <f t="shared" si="18"/>
        <v>300</v>
      </c>
      <c r="C161" s="167" t="s">
        <v>104</v>
      </c>
      <c r="D161" s="25"/>
      <c r="E161" s="24">
        <f t="shared" si="19"/>
        <v>-3.615239465128442E-2</v>
      </c>
      <c r="F161" s="24">
        <f t="shared" si="19"/>
        <v>3.284678551510626E-2</v>
      </c>
      <c r="G161" s="24">
        <f t="shared" si="19"/>
        <v>-6.904839449282581E-3</v>
      </c>
      <c r="H161" s="24">
        <f t="shared" si="19"/>
        <v>2.4999999999999828E-2</v>
      </c>
      <c r="I161" s="24">
        <f t="shared" si="19"/>
        <v>2.4999999999999981E-2</v>
      </c>
    </row>
    <row r="162" spans="2:9">
      <c r="B162" s="188">
        <f t="shared" si="18"/>
        <v>325</v>
      </c>
      <c r="C162" s="167" t="s">
        <v>104</v>
      </c>
      <c r="D162" s="25"/>
      <c r="E162" s="24">
        <f t="shared" si="19"/>
        <v>-3.0359243391358287E-2</v>
      </c>
      <c r="F162" s="24">
        <f t="shared" si="19"/>
        <v>3.3169892651148322E-2</v>
      </c>
      <c r="G162" s="24">
        <f t="shared" si="19"/>
        <v>-8.7098679393578689E-3</v>
      </c>
      <c r="H162" s="24">
        <f t="shared" si="19"/>
        <v>2.4999999999999911E-2</v>
      </c>
      <c r="I162" s="24">
        <f t="shared" si="19"/>
        <v>2.5000000000000081E-2</v>
      </c>
    </row>
    <row r="163" spans="2:9">
      <c r="B163" s="188">
        <f t="shared" si="18"/>
        <v>350</v>
      </c>
      <c r="C163" s="167" t="s">
        <v>104</v>
      </c>
      <c r="D163" s="25"/>
      <c r="E163" s="24">
        <f t="shared" si="19"/>
        <v>-2.5301036622872589E-2</v>
      </c>
      <c r="F163" s="24">
        <f t="shared" si="19"/>
        <v>3.3448868192241181E-2</v>
      </c>
      <c r="G163" s="24">
        <f t="shared" si="19"/>
        <v>-1.0267448606787809E-2</v>
      </c>
      <c r="H163" s="24">
        <f t="shared" si="19"/>
        <v>2.4999999999999981E-2</v>
      </c>
      <c r="I163" s="24">
        <f t="shared" si="19"/>
        <v>2.4999999999999935E-2</v>
      </c>
    </row>
    <row r="164" spans="2:9">
      <c r="B164" s="188">
        <f t="shared" si="18"/>
        <v>375</v>
      </c>
      <c r="C164" s="167" t="s">
        <v>104</v>
      </c>
      <c r="D164" s="25"/>
      <c r="E164" s="24">
        <f t="shared" si="19"/>
        <v>-2.0846259230919664E-2</v>
      </c>
      <c r="F164" s="24">
        <f t="shared" si="19"/>
        <v>3.3692175711931623E-2</v>
      </c>
      <c r="G164" s="24">
        <f t="shared" si="19"/>
        <v>-1.1625200646929739E-2</v>
      </c>
      <c r="H164" s="24">
        <f t="shared" si="19"/>
        <v>2.5000000000000043E-2</v>
      </c>
      <c r="I164" s="24">
        <f t="shared" si="19"/>
        <v>2.5000000000000026E-2</v>
      </c>
    </row>
    <row r="165" spans="2:9">
      <c r="B165" s="188">
        <f t="shared" si="18"/>
        <v>400</v>
      </c>
      <c r="C165" s="167" t="s">
        <v>104</v>
      </c>
      <c r="D165" s="25"/>
      <c r="E165" s="24">
        <f t="shared" si="19"/>
        <v>-1.6893008506084713E-2</v>
      </c>
      <c r="F165" s="24">
        <f t="shared" si="19"/>
        <v>3.3906244624685999E-2</v>
      </c>
      <c r="G165" s="24">
        <f t="shared" si="19"/>
        <v>-1.2819261255436734E-2</v>
      </c>
      <c r="H165" s="24">
        <f t="shared" si="19"/>
        <v>2.4999999999999675E-2</v>
      </c>
      <c r="I165" s="24">
        <f t="shared" si="19"/>
        <v>2.5000000000000112E-2</v>
      </c>
    </row>
    <row r="166" spans="2:9">
      <c r="B166" s="188">
        <f t="shared" si="18"/>
        <v>425</v>
      </c>
      <c r="C166" s="167" t="s">
        <v>104</v>
      </c>
      <c r="D166" s="25"/>
      <c r="E166" s="24">
        <f t="shared" ref="E166:I181" si="20">E123/D80</f>
        <v>-1.3361103759525544E-2</v>
      </c>
      <c r="F166" s="24">
        <f t="shared" si="20"/>
        <v>3.4096046667013553E-2</v>
      </c>
      <c r="G166" s="24">
        <f t="shared" si="20"/>
        <v>-1.3877549569457054E-2</v>
      </c>
      <c r="H166" s="24">
        <f t="shared" si="20"/>
        <v>2.4999999999999949E-2</v>
      </c>
      <c r="I166" s="24">
        <f t="shared" si="20"/>
        <v>2.4999999999999991E-2</v>
      </c>
    </row>
    <row r="167" spans="2:9">
      <c r="B167" s="188">
        <f t="shared" si="18"/>
        <v>450</v>
      </c>
      <c r="C167" s="167" t="s">
        <v>104</v>
      </c>
      <c r="D167" s="25"/>
      <c r="E167" s="24">
        <f t="shared" si="20"/>
        <v>-1.0186591213890324E-2</v>
      </c>
      <c r="F167" s="24">
        <f t="shared" si="20"/>
        <v>3.426548684480122E-2</v>
      </c>
      <c r="G167" s="24">
        <f t="shared" si="20"/>
        <v>-1.4821977110850398E-2</v>
      </c>
      <c r="H167" s="24">
        <f t="shared" si="20"/>
        <v>2.4999999999999811E-2</v>
      </c>
      <c r="I167" s="24">
        <f t="shared" si="20"/>
        <v>2.5000000000000064E-2</v>
      </c>
    </row>
    <row r="168" spans="2:9">
      <c r="B168" s="188">
        <f t="shared" si="18"/>
        <v>475</v>
      </c>
      <c r="C168" s="167" t="s">
        <v>104</v>
      </c>
      <c r="D168" s="25"/>
      <c r="E168" s="24">
        <f t="shared" si="20"/>
        <v>-7.3178367037646528E-3</v>
      </c>
      <c r="F168" s="24">
        <f t="shared" si="20"/>
        <v>3.4417674964234063E-2</v>
      </c>
      <c r="G168" s="24">
        <f t="shared" si="20"/>
        <v>-1.5669981188827359E-2</v>
      </c>
      <c r="H168" s="24">
        <f t="shared" si="20"/>
        <v>2.4999999999999689E-2</v>
      </c>
      <c r="I168" s="24">
        <f t="shared" si="20"/>
        <v>2.500000000000013E-2</v>
      </c>
    </row>
    <row r="169" spans="2:9">
      <c r="B169" s="188">
        <f t="shared" si="18"/>
        <v>500</v>
      </c>
      <c r="C169" s="167" t="s">
        <v>104</v>
      </c>
      <c r="D169" s="25"/>
      <c r="E169" s="24">
        <f t="shared" si="20"/>
        <v>-4.7126955155654031E-3</v>
      </c>
      <c r="F169" s="24">
        <f t="shared" si="20"/>
        <v>3.4555118240374535E-2</v>
      </c>
      <c r="G169" s="24">
        <f t="shared" si="20"/>
        <v>-1.643561144541204E-2</v>
      </c>
      <c r="H169" s="24">
        <f t="shared" si="20"/>
        <v>2.4999999999999925E-2</v>
      </c>
      <c r="I169" s="24">
        <f t="shared" si="20"/>
        <v>2.5000000000000192E-2</v>
      </c>
    </row>
    <row r="170" spans="2:9">
      <c r="B170" s="188">
        <f t="shared" si="18"/>
        <v>525</v>
      </c>
      <c r="C170" s="167" t="s">
        <v>104</v>
      </c>
      <c r="D170" s="25"/>
      <c r="E170" s="24">
        <f t="shared" si="20"/>
        <v>-2.3364281558104958E-3</v>
      </c>
      <c r="F170" s="24">
        <f t="shared" si="20"/>
        <v>3.467986050939522E-2</v>
      </c>
      <c r="G170" s="24">
        <f t="shared" si="20"/>
        <v>-1.7130314431238983E-2</v>
      </c>
      <c r="H170" s="24">
        <f t="shared" si="20"/>
        <v>2.4999999999999807E-2</v>
      </c>
      <c r="I170" s="24">
        <f t="shared" si="20"/>
        <v>2.5000000000000088E-2</v>
      </c>
    </row>
    <row r="171" spans="2:9">
      <c r="B171" s="188">
        <f t="shared" si="18"/>
        <v>550</v>
      </c>
      <c r="C171" s="167" t="s">
        <v>104</v>
      </c>
      <c r="D171" s="25"/>
      <c r="E171" s="24">
        <f t="shared" si="20"/>
        <v>-1.6014233273224892E-4</v>
      </c>
      <c r="F171" s="24">
        <f t="shared" si="20"/>
        <v>3.4793584551825921E-2</v>
      </c>
      <c r="G171" s="24">
        <f t="shared" si="20"/>
        <v>-1.7763509786979208E-2</v>
      </c>
      <c r="H171" s="24">
        <f t="shared" si="20"/>
        <v>2.4999999999999856E-2</v>
      </c>
      <c r="I171" s="24">
        <f t="shared" si="20"/>
        <v>2.4999999999999991E-2</v>
      </c>
    </row>
    <row r="172" spans="2:9">
      <c r="B172" s="188">
        <f t="shared" si="18"/>
        <v>575</v>
      </c>
      <c r="C172" s="167" t="s">
        <v>104</v>
      </c>
      <c r="D172" s="25"/>
      <c r="E172" s="24">
        <f t="shared" si="20"/>
        <v>1.84038758743375E-3</v>
      </c>
      <c r="F172" s="24">
        <f t="shared" si="20"/>
        <v>3.4897688448612449E-2</v>
      </c>
      <c r="G172" s="24">
        <f t="shared" si="20"/>
        <v>-1.8343019870671717E-2</v>
      </c>
      <c r="H172" s="24">
        <f t="shared" si="20"/>
        <v>2.4999999999999904E-2</v>
      </c>
      <c r="I172" s="24">
        <f t="shared" si="20"/>
        <v>2.500000000000005E-2</v>
      </c>
    </row>
    <row r="173" spans="2:9">
      <c r="B173" s="188">
        <f t="shared" si="18"/>
        <v>600</v>
      </c>
      <c r="C173" s="167" t="s">
        <v>104</v>
      </c>
      <c r="D173" s="25"/>
      <c r="E173" s="24">
        <f t="shared" si="20"/>
        <v>3.6856262047459832E-3</v>
      </c>
      <c r="F173" s="24">
        <f t="shared" si="20"/>
        <v>3.4993343346162969E-2</v>
      </c>
      <c r="G173" s="24">
        <f t="shared" si="20"/>
        <v>-1.8875394551727358E-2</v>
      </c>
      <c r="H173" s="24">
        <f t="shared" si="20"/>
        <v>2.4999999999999946E-2</v>
      </c>
      <c r="I173" s="24">
        <f t="shared" si="20"/>
        <v>2.5000000000000105E-2</v>
      </c>
    </row>
    <row r="174" spans="2:9">
      <c r="B174" s="188">
        <f t="shared" si="18"/>
        <v>625</v>
      </c>
      <c r="C174" s="167" t="s">
        <v>104</v>
      </c>
      <c r="D174" s="25"/>
      <c r="E174" s="24">
        <f t="shared" si="20"/>
        <v>5.3929796920069266E-3</v>
      </c>
      <c r="F174" s="24">
        <f t="shared" si="20"/>
        <v>3.5081537705358365E-2</v>
      </c>
      <c r="G174" s="24">
        <f t="shared" si="20"/>
        <v>-1.9366159849103289E-2</v>
      </c>
      <c r="H174" s="24">
        <f t="shared" si="20"/>
        <v>2.4999999999999988E-2</v>
      </c>
      <c r="I174" s="24">
        <f t="shared" si="20"/>
        <v>2.4999999999999887E-2</v>
      </c>
    </row>
    <row r="175" spans="2:9">
      <c r="B175" s="188">
        <f t="shared" si="18"/>
        <v>650</v>
      </c>
      <c r="C175" s="167" t="s">
        <v>104</v>
      </c>
      <c r="D175" s="25"/>
      <c r="E175" s="24">
        <f t="shared" si="20"/>
        <v>6.977346567652051E-3</v>
      </c>
      <c r="F175" s="24">
        <f t="shared" si="20"/>
        <v>3.5163111585651892E-2</v>
      </c>
      <c r="G175" s="24">
        <f t="shared" si="20"/>
        <v>-1.9820010462823688E-2</v>
      </c>
      <c r="H175" s="24">
        <f t="shared" si="20"/>
        <v>2.5000000000000022E-2</v>
      </c>
      <c r="I175" s="24">
        <f t="shared" si="20"/>
        <v>2.4999999999999942E-2</v>
      </c>
    </row>
    <row r="176" spans="2:9">
      <c r="B176" s="188">
        <f t="shared" si="18"/>
        <v>675</v>
      </c>
      <c r="C176" s="167" t="s">
        <v>104</v>
      </c>
      <c r="D176" s="25"/>
      <c r="E176" s="24">
        <f t="shared" si="20"/>
        <v>8.4515535841417806E-3</v>
      </c>
      <c r="F176" s="24">
        <f t="shared" si="20"/>
        <v>3.5238783487668728E-2</v>
      </c>
      <c r="G176" s="24">
        <f t="shared" si="20"/>
        <v>-2.0240960434383677E-2</v>
      </c>
      <c r="H176" s="24">
        <f t="shared" si="20"/>
        <v>2.4999999999999929E-2</v>
      </c>
      <c r="I176" s="24">
        <f t="shared" si="20"/>
        <v>2.4999999999999994E-2</v>
      </c>
    </row>
    <row r="177" spans="2:9">
      <c r="B177" s="188">
        <f t="shared" si="18"/>
        <v>700</v>
      </c>
      <c r="C177" s="167" t="s">
        <v>104</v>
      </c>
      <c r="D177" s="25"/>
      <c r="E177" s="24">
        <f t="shared" si="20"/>
        <v>9.8267037500005261E-3</v>
      </c>
      <c r="F177" s="24">
        <f t="shared" si="20"/>
        <v>3.5309171572924174E-2</v>
      </c>
      <c r="G177" s="24">
        <f t="shared" si="20"/>
        <v>-2.0632462188096733E-2</v>
      </c>
      <c r="H177" s="24">
        <f t="shared" si="20"/>
        <v>2.4999999999999963E-2</v>
      </c>
      <c r="I177" s="24">
        <f t="shared" si="20"/>
        <v>2.5000000000000043E-2</v>
      </c>
    </row>
    <row r="178" spans="2:9">
      <c r="B178" s="188">
        <f t="shared" si="18"/>
        <v>725</v>
      </c>
      <c r="C178" s="167" t="s">
        <v>104</v>
      </c>
      <c r="D178" s="25"/>
      <c r="E178" s="24">
        <f t="shared" si="20"/>
        <v>1.1112456477933007E-2</v>
      </c>
      <c r="F178" s="24">
        <f t="shared" si="20"/>
        <v>3.5374810588471764E-2</v>
      </c>
      <c r="G178" s="24">
        <f t="shared" si="20"/>
        <v>-2.0997501433601708E-2</v>
      </c>
      <c r="H178" s="24">
        <f t="shared" si="20"/>
        <v>2.499999999999988E-2</v>
      </c>
      <c r="I178" s="24">
        <f t="shared" si="20"/>
        <v>2.4999999999999974E-2</v>
      </c>
    </row>
    <row r="179" spans="2:9">
      <c r="B179" s="188">
        <f t="shared" si="18"/>
        <v>750</v>
      </c>
      <c r="C179" s="167" t="s">
        <v>104</v>
      </c>
      <c r="D179" s="25"/>
      <c r="E179" s="24">
        <f t="shared" si="20"/>
        <v>1.2317254816343982E-2</v>
      </c>
      <c r="F179" s="24">
        <f t="shared" si="20"/>
        <v>3.5436165477637727E-2</v>
      </c>
      <c r="G179" s="24">
        <f t="shared" si="20"/>
        <v>-2.1338673453444638E-2</v>
      </c>
      <c r="H179" s="24">
        <f t="shared" si="20"/>
        <v>2.4999999999999915E-2</v>
      </c>
      <c r="I179" s="24">
        <f t="shared" si="20"/>
        <v>2.5000000000000019E-2</v>
      </c>
    </row>
    <row r="180" spans="2:9">
      <c r="B180" s="188">
        <f t="shared" si="18"/>
        <v>775</v>
      </c>
      <c r="C180" s="167" t="s">
        <v>104</v>
      </c>
      <c r="D180" s="25"/>
      <c r="E180" s="24">
        <f t="shared" si="20"/>
        <v>1.3448511069544981E-2</v>
      </c>
      <c r="F180" s="24">
        <f t="shared" si="20"/>
        <v>3.5493642409943113E-2</v>
      </c>
      <c r="G180" s="24">
        <f t="shared" si="20"/>
        <v>-2.1658244900707599E-2</v>
      </c>
      <c r="H180" s="24">
        <f t="shared" si="20"/>
        <v>2.4999999999999835E-2</v>
      </c>
      <c r="I180" s="24">
        <f t="shared" si="20"/>
        <v>2.5000000000000175E-2</v>
      </c>
    </row>
    <row r="181" spans="2:9">
      <c r="B181" s="188">
        <f t="shared" si="18"/>
        <v>800</v>
      </c>
      <c r="C181" s="167" t="s">
        <v>104</v>
      </c>
      <c r="D181" s="25"/>
      <c r="E181" s="24">
        <f t="shared" si="20"/>
        <v>1.4512759433344515E-2</v>
      </c>
      <c r="F181" s="24">
        <f t="shared" si="20"/>
        <v>3.5547597783645496E-2</v>
      </c>
      <c r="G181" s="24">
        <f t="shared" si="20"/>
        <v>-2.1958204219059245E-2</v>
      </c>
      <c r="H181" s="24">
        <f t="shared" si="20"/>
        <v>2.499999999999987E-2</v>
      </c>
      <c r="I181" s="24">
        <f t="shared" si="20"/>
        <v>2.500000000000021E-2</v>
      </c>
    </row>
    <row r="182" spans="2:9">
      <c r="B182" s="188">
        <f t="shared" si="18"/>
        <v>825</v>
      </c>
      <c r="C182" s="167" t="s">
        <v>104</v>
      </c>
      <c r="D182" s="25"/>
      <c r="E182" s="24">
        <f t="shared" ref="E182:I189" si="21">E139/D96</f>
        <v>1.5515782287562421E-2</v>
      </c>
      <c r="F182" s="24">
        <f t="shared" si="21"/>
        <v>3.5598345622733549E-2</v>
      </c>
      <c r="G182" s="24">
        <f t="shared" si="21"/>
        <v>-2.2240303056320364E-2</v>
      </c>
      <c r="H182" s="24">
        <f t="shared" si="21"/>
        <v>2.4999999999999797E-2</v>
      </c>
      <c r="I182" s="24">
        <f t="shared" si="21"/>
        <v>2.500000000000004E-2</v>
      </c>
    </row>
    <row r="183" spans="2:9">
      <c r="B183" s="188">
        <f t="shared" si="18"/>
        <v>850</v>
      </c>
      <c r="C183" s="167" t="s">
        <v>104</v>
      </c>
      <c r="D183" s="25"/>
      <c r="E183" s="24">
        <f t="shared" si="21"/>
        <v>1.6462715301407988E-2</v>
      </c>
      <c r="F183" s="24">
        <f t="shared" si="21"/>
        <v>3.5646163692795052E-2</v>
      </c>
      <c r="G183" s="24">
        <f t="shared" si="21"/>
        <v>-2.2506090494236918E-2</v>
      </c>
      <c r="H183" s="24">
        <f t="shared" si="21"/>
        <v>2.4999999999999724E-2</v>
      </c>
      <c r="I183" s="24">
        <f t="shared" si="21"/>
        <v>2.5000000000000078E-2</v>
      </c>
    </row>
    <row r="184" spans="2:9">
      <c r="B184" s="188">
        <f t="shared" si="18"/>
        <v>875</v>
      </c>
      <c r="C184" s="167" t="s">
        <v>104</v>
      </c>
      <c r="D184" s="25"/>
      <c r="E184" s="24">
        <f t="shared" si="21"/>
        <v>1.735813538573678E-2</v>
      </c>
      <c r="F184" s="24">
        <f t="shared" si="21"/>
        <v>3.569129858735999E-2</v>
      </c>
      <c r="G184" s="24">
        <f t="shared" si="21"/>
        <v>-2.2756941507433386E-2</v>
      </c>
      <c r="H184" s="24">
        <f t="shared" si="21"/>
        <v>2.4999999999999863E-2</v>
      </c>
      <c r="I184" s="24">
        <f t="shared" si="21"/>
        <v>2.5000000000000116E-2</v>
      </c>
    </row>
    <row r="185" spans="2:9">
      <c r="B185" s="188">
        <f t="shared" si="18"/>
        <v>900</v>
      </c>
      <c r="C185" s="167" t="s">
        <v>104</v>
      </c>
      <c r="D185" s="25"/>
      <c r="E185" s="24">
        <f t="shared" si="21"/>
        <v>1.8206134671643722E-2</v>
      </c>
      <c r="F185" s="24">
        <f t="shared" si="21"/>
        <v>3.5733969981393554E-2</v>
      </c>
      <c r="G185" s="24">
        <f t="shared" si="21"/>
        <v>-2.2994080755581917E-2</v>
      </c>
      <c r="H185" s="24">
        <f t="shared" si="21"/>
        <v>2.4999999999999991E-2</v>
      </c>
      <c r="I185" s="24">
        <f t="shared" si="21"/>
        <v>2.4999999999999963E-2</v>
      </c>
    </row>
    <row r="186" spans="2:9">
      <c r="B186" s="188">
        <f t="shared" si="18"/>
        <v>1000</v>
      </c>
      <c r="C186" s="167" t="s">
        <v>104</v>
      </c>
      <c r="D186" s="25"/>
      <c r="E186" s="24">
        <f t="shared" si="21"/>
        <v>2.1192049221514502E-2</v>
      </c>
      <c r="F186" s="24">
        <f t="shared" si="21"/>
        <v>3.5883657351095763E-2</v>
      </c>
      <c r="G186" s="24">
        <f t="shared" si="21"/>
        <v>-2.382578919940832E-2</v>
      </c>
      <c r="H186" s="24">
        <f t="shared" si="21"/>
        <v>2.5000000000000088E-2</v>
      </c>
      <c r="I186" s="24">
        <f t="shared" si="21"/>
        <v>2.5000000000000102E-2</v>
      </c>
    </row>
    <row r="187" spans="2:9">
      <c r="B187" s="188">
        <f t="shared" si="18"/>
        <v>2000</v>
      </c>
      <c r="C187" s="167" t="s">
        <v>104</v>
      </c>
      <c r="D187" s="25"/>
      <c r="E187" s="24">
        <f t="shared" si="21"/>
        <v>3.4983139548379151E-2</v>
      </c>
      <c r="F187" s="24">
        <f t="shared" si="21"/>
        <v>3.6563813798699663E-2</v>
      </c>
      <c r="G187" s="24">
        <f t="shared" si="21"/>
        <v>-2.7601919308017565E-2</v>
      </c>
      <c r="H187" s="24">
        <f t="shared" si="21"/>
        <v>2.4999999999999991E-2</v>
      </c>
      <c r="I187" s="24">
        <f t="shared" si="21"/>
        <v>2.499999999999997E-2</v>
      </c>
    </row>
    <row r="188" spans="2:9">
      <c r="B188" s="188">
        <f t="shared" si="18"/>
        <v>5000</v>
      </c>
      <c r="C188" s="167" t="s">
        <v>104</v>
      </c>
      <c r="D188" s="25"/>
      <c r="E188" s="24">
        <f t="shared" si="21"/>
        <v>4.3547312298664854E-2</v>
      </c>
      <c r="F188" s="24">
        <f t="shared" si="21"/>
        <v>3.69771380772137E-2</v>
      </c>
      <c r="G188" s="24">
        <f t="shared" si="21"/>
        <v>-2.9894216099078885E-2</v>
      </c>
      <c r="H188" s="24">
        <f t="shared" si="21"/>
        <v>2.4999999999999935E-2</v>
      </c>
      <c r="I188" s="24">
        <f t="shared" si="21"/>
        <v>2.5000000000000064E-2</v>
      </c>
    </row>
    <row r="189" spans="2:9">
      <c r="B189" s="188">
        <f t="shared" si="18"/>
        <v>10000</v>
      </c>
      <c r="C189" s="167" t="s">
        <v>104</v>
      </c>
      <c r="D189" s="25"/>
      <c r="E189" s="24">
        <f t="shared" si="21"/>
        <v>4.645219733113589E-2</v>
      </c>
      <c r="F189" s="24">
        <f t="shared" si="21"/>
        <v>3.7115797161225261E-2</v>
      </c>
      <c r="G189" s="24">
        <f t="shared" si="21"/>
        <v>-3.0662810207780819E-2</v>
      </c>
      <c r="H189" s="24">
        <f t="shared" si="21"/>
        <v>2.5000000000000026E-2</v>
      </c>
      <c r="I189" s="24">
        <f t="shared" si="21"/>
        <v>2.500000000000004E-2</v>
      </c>
    </row>
    <row r="190" spans="2:9">
      <c r="D190" s="25"/>
    </row>
    <row r="191" spans="2:9">
      <c r="D191" s="25"/>
    </row>
    <row r="192" spans="2:9">
      <c r="D192" s="25"/>
    </row>
    <row r="193" spans="4:4">
      <c r="D193" s="25"/>
    </row>
    <row r="194" spans="4:4">
      <c r="D194" s="25"/>
    </row>
    <row r="195" spans="4:4">
      <c r="D195" s="25"/>
    </row>
    <row r="196" spans="4:4">
      <c r="D196" s="25"/>
    </row>
    <row r="197" spans="4:4">
      <c r="D197" s="25"/>
    </row>
    <row r="198" spans="4:4">
      <c r="D198" s="25"/>
    </row>
    <row r="199" spans="4:4">
      <c r="D199" s="25"/>
    </row>
    <row r="200" spans="4:4">
      <c r="D200" s="25"/>
    </row>
    <row r="201" spans="4:4">
      <c r="D201" s="25"/>
    </row>
    <row r="202" spans="4:4">
      <c r="D202" s="25"/>
    </row>
  </sheetData>
  <pageMargins left="0" right="0" top="0" bottom="0" header="0" footer="0"/>
  <pageSetup paperSize="9" scale="85" orientation="landscape" horizontalDpi="4294967292" verticalDpi="4294967292" r:id="rId1"/>
  <extLst>
    <ext xmlns:x14="http://schemas.microsoft.com/office/spreadsheetml/2009/9/main" uri="{78C0D931-6437-407d-A8EE-F0AAD7539E65}">
      <x14:conditionalFormattings>
        <x14:conditionalFormatting xmlns:xm="http://schemas.microsoft.com/office/excel/2006/main">
          <x14:cfRule type="expression" priority="1" stopIfTrue="1" id="{5AAB5E1F-6193-2E4E-82BB-0EA67CD66B95}">
            <xm:f>'2. Notes and Assumptions'!$D$92="ERROR"</xm:f>
            <x14:dxf>
              <font>
                <color theme="0"/>
              </font>
              <fill>
                <patternFill patternType="solid">
                  <fgColor indexed="64"/>
                  <bgColor rgb="FFFF0000"/>
                </patternFill>
              </fill>
            </x14:dxf>
          </x14:cfRule>
          <x14:cfRule type="expression" priority="2" id="{D9DDAD90-0CAD-FB40-9405-0A5F1D90C1D3}">
            <xm:f>'2. Notes and Assumptions'!$D$103="ERROR"</xm:f>
            <x14:dxf>
              <font>
                <strike val="0"/>
                <color rgb="FF000090"/>
              </font>
              <fill>
                <patternFill patternType="darkGrid">
                  <fgColor theme="0"/>
                  <bgColor rgb="FFFF6600"/>
                </patternFill>
              </fill>
            </x14:dxf>
          </x14:cfRule>
          <xm:sqref>A1:XFD1 A1:A1048576</xm:sqref>
        </x14:conditionalFormatting>
      </x14:conditionalFormattings>
    </ex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56</vt:i4>
      </vt:variant>
    </vt:vector>
  </HeadingPairs>
  <TitlesOfParts>
    <vt:vector size="85" baseType="lpstr">
      <vt:lpstr>1. Introduction and Index</vt:lpstr>
      <vt:lpstr>2. Notes and Assumptions</vt:lpstr>
      <vt:lpstr>3. General Model Inputs</vt:lpstr>
      <vt:lpstr>4. Cardno Capex Reduction</vt:lpstr>
      <vt:lpstr>5. Demand Forecast Inputs</vt:lpstr>
      <vt:lpstr>6. Prior Price Year Adjustment </vt:lpstr>
      <vt:lpstr>7. Uriarra CSO Calculation</vt:lpstr>
      <vt:lpstr>8. Discovery Trail CSO</vt:lpstr>
      <vt:lpstr>9. Gas Abatement CSO</vt:lpstr>
      <vt:lpstr>10. Water-Existing Assets Input</vt:lpstr>
      <vt:lpstr>11. Water - Capex Input</vt:lpstr>
      <vt:lpstr>12. Water - Existing Assets RAB</vt:lpstr>
      <vt:lpstr>13. Water - Capex RAB</vt:lpstr>
      <vt:lpstr>14.Water-Existing Assets Tax BV</vt:lpstr>
      <vt:lpstr>15. Water - Capex Tax BV</vt:lpstr>
      <vt:lpstr>16. Water - MAR</vt:lpstr>
      <vt:lpstr>17. Water - Price Setting</vt:lpstr>
      <vt:lpstr>18. Sewer-Existing Assets Input</vt:lpstr>
      <vt:lpstr>19. Sewer - Capex Input</vt:lpstr>
      <vt:lpstr>20. Sewer - Existing Assets RAB</vt:lpstr>
      <vt:lpstr>21. Sewer - Capex RAB</vt:lpstr>
      <vt:lpstr>22.Sewer-Existing Assets Tax BV</vt:lpstr>
      <vt:lpstr>23. Sewer - Capex Tax BV</vt:lpstr>
      <vt:lpstr>24. Sewer - MAR</vt:lpstr>
      <vt:lpstr>25. Sewer - Price Setting</vt:lpstr>
      <vt:lpstr>26. Financeability Tests Case 1</vt:lpstr>
      <vt:lpstr>27. Financeability Tests Case 2</vt:lpstr>
      <vt:lpstr>28. Bill Impacts - Case 1</vt:lpstr>
      <vt:lpstr>29. Bill Impacts - Case 2</vt:lpstr>
      <vt:lpstr>CSO_1_1</vt:lpstr>
      <vt:lpstr>CSO_1_2</vt:lpstr>
      <vt:lpstr>CSO_1_3</vt:lpstr>
      <vt:lpstr>CSO_1_4</vt:lpstr>
      <vt:lpstr>CSO_1_5</vt:lpstr>
      <vt:lpstr>CSO_2_1</vt:lpstr>
      <vt:lpstr>CSO_2_2</vt:lpstr>
      <vt:lpstr>CSO_2_3</vt:lpstr>
      <vt:lpstr>CSO_2_4</vt:lpstr>
      <vt:lpstr>CSO_2_5</vt:lpstr>
      <vt:lpstr>CSO_3_1</vt:lpstr>
      <vt:lpstr>CSO_3_2</vt:lpstr>
      <vt:lpstr>CSO_3_3</vt:lpstr>
      <vt:lpstr>CSO_3_4</vt:lpstr>
      <vt:lpstr>CSO_3_5</vt:lpstr>
      <vt:lpstr>CSO_4_1</vt:lpstr>
      <vt:lpstr>CSO_4_2</vt:lpstr>
      <vt:lpstr>CSO_4_3</vt:lpstr>
      <vt:lpstr>CSO_4_4</vt:lpstr>
      <vt:lpstr>CSO_4_5</vt:lpstr>
      <vt:lpstr>Err_1_1</vt:lpstr>
      <vt:lpstr>Err_1_2</vt:lpstr>
      <vt:lpstr>Err_1_3</vt:lpstr>
      <vt:lpstr>Err_1_4</vt:lpstr>
      <vt:lpstr>Err_1_5</vt:lpstr>
      <vt:lpstr>Err_2_1</vt:lpstr>
      <vt:lpstr>Err_2_2</vt:lpstr>
      <vt:lpstr>Err_2_3</vt:lpstr>
      <vt:lpstr>Err_2_4</vt:lpstr>
      <vt:lpstr>Err_2_5</vt:lpstr>
      <vt:lpstr>Err_3_1</vt:lpstr>
      <vt:lpstr>Err_3_2</vt:lpstr>
      <vt:lpstr>Err_3_3</vt:lpstr>
      <vt:lpstr>Err_3_4</vt:lpstr>
      <vt:lpstr>Err_3_5</vt:lpstr>
      <vt:lpstr>Err_4_1</vt:lpstr>
      <vt:lpstr>Err_4_2</vt:lpstr>
      <vt:lpstr>Err_4_3</vt:lpstr>
      <vt:lpstr>Err_4_4</vt:lpstr>
      <vt:lpstr>Err_4_5</vt:lpstr>
      <vt:lpstr>ModelConvergence</vt:lpstr>
      <vt:lpstr>PricePath</vt:lpstr>
      <vt:lpstr>ProjectName</vt:lpstr>
      <vt:lpstr>SewerConvergence1</vt:lpstr>
      <vt:lpstr>SewerConvergence2</vt:lpstr>
      <vt:lpstr>SewerP01</vt:lpstr>
      <vt:lpstr>SewerP02</vt:lpstr>
      <vt:lpstr>SewerX1</vt:lpstr>
      <vt:lpstr>SewerX2</vt:lpstr>
      <vt:lpstr>VolumeSensitivity</vt:lpstr>
      <vt:lpstr>WaterConvergence1</vt:lpstr>
      <vt:lpstr>WaterConvergence2</vt:lpstr>
      <vt:lpstr>WaterP01</vt:lpstr>
      <vt:lpstr>WaterP02</vt:lpstr>
      <vt:lpstr>WaterX1</vt:lpstr>
      <vt:lpstr>WaterX2</vt:lpstr>
    </vt:vector>
  </TitlesOfParts>
  <Company>WWL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 White</dc:creator>
  <cp:lastModifiedBy>nicole wong</cp:lastModifiedBy>
  <cp:lastPrinted>2015-05-25T00:17:07Z</cp:lastPrinted>
  <dcterms:created xsi:type="dcterms:W3CDTF">2014-08-18T01:49:32Z</dcterms:created>
  <dcterms:modified xsi:type="dcterms:W3CDTF">2015-06-09T02:28:22Z</dcterms:modified>
</cp:coreProperties>
</file>